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250" windowHeight="13170"/>
  </bookViews>
  <sheets>
    <sheet name="Forslag budsjett 2017" sheetId="9" r:id="rId1"/>
    <sheet name="Kv natt og lø sø" sheetId="10" r:id="rId2"/>
    <sheet name="Helligdag" sheetId="11" r:id="rId3"/>
  </sheets>
  <calcPr calcId="145621"/>
</workbook>
</file>

<file path=xl/calcChain.xml><?xml version="1.0" encoding="utf-8"?>
<calcChain xmlns="http://schemas.openxmlformats.org/spreadsheetml/2006/main">
  <c r="E72" i="9" l="1"/>
  <c r="E71" i="9"/>
  <c r="E68" i="9"/>
  <c r="E69" i="9"/>
  <c r="E67" i="9"/>
  <c r="H73" i="9"/>
  <c r="G67" i="9"/>
  <c r="C75" i="9"/>
  <c r="B73" i="9" l="1"/>
  <c r="C33" i="9"/>
  <c r="L18" i="9"/>
  <c r="L14" i="9"/>
  <c r="L15" i="9"/>
  <c r="L13" i="9"/>
  <c r="B70" i="9"/>
  <c r="B75" i="9" l="1"/>
  <c r="D72" i="9"/>
  <c r="D71" i="9"/>
  <c r="J26" i="9"/>
  <c r="J28" i="9" s="1"/>
  <c r="D73" i="9" l="1"/>
  <c r="J27" i="9"/>
  <c r="J29" i="9" s="1"/>
  <c r="J30" i="9" s="1"/>
  <c r="J36" i="9" s="1"/>
  <c r="C43" i="9"/>
  <c r="E33" i="9"/>
  <c r="I33" i="9" s="1"/>
  <c r="P13" i="9"/>
  <c r="M14" i="9"/>
  <c r="C67" i="9" l="1"/>
  <c r="N14" i="9"/>
  <c r="O14" i="9" s="1"/>
  <c r="C34" i="9"/>
  <c r="I34" i="9" s="1"/>
  <c r="C35" i="9"/>
  <c r="I35" i="9" s="1"/>
  <c r="K27" i="11"/>
  <c r="J27" i="11"/>
  <c r="C24" i="11"/>
  <c r="C23" i="11"/>
  <c r="C22" i="11"/>
  <c r="A27" i="11"/>
  <c r="D24" i="11"/>
  <c r="D23" i="11"/>
  <c r="C25" i="11"/>
  <c r="C12" i="11"/>
  <c r="C14" i="11" s="1"/>
  <c r="C11" i="11"/>
  <c r="K34" i="9" l="1"/>
  <c r="N34" i="9"/>
  <c r="K33" i="9"/>
  <c r="N33" i="9"/>
  <c r="K35" i="9"/>
  <c r="N35" i="9"/>
  <c r="C72" i="9"/>
  <c r="C69" i="9"/>
  <c r="C71" i="9"/>
  <c r="C68" i="9"/>
  <c r="C15" i="11"/>
  <c r="D12" i="11"/>
  <c r="D22" i="11"/>
  <c r="D25" i="11" s="1"/>
  <c r="E25" i="11" s="1"/>
  <c r="F26" i="11" l="1"/>
  <c r="H27" i="11" s="1"/>
  <c r="I27" i="11" l="1"/>
  <c r="W18" i="10" l="1"/>
  <c r="V18" i="10"/>
  <c r="U18" i="10"/>
  <c r="T18" i="10"/>
  <c r="S18" i="10"/>
  <c r="R18" i="10"/>
  <c r="Q18" i="10"/>
  <c r="Y16" i="10"/>
  <c r="X16" i="10"/>
  <c r="U16" i="10"/>
  <c r="S16" i="10"/>
  <c r="Y15" i="10"/>
  <c r="X15" i="10"/>
  <c r="U15" i="10"/>
  <c r="S15" i="10"/>
  <c r="Y14" i="10"/>
  <c r="X14" i="10"/>
  <c r="U14" i="10"/>
  <c r="S14" i="10"/>
  <c r="Y13" i="10"/>
  <c r="X13" i="10"/>
  <c r="U13" i="10"/>
  <c r="S13" i="10"/>
  <c r="Y12" i="10"/>
  <c r="X12" i="10"/>
  <c r="U12" i="10"/>
  <c r="S12" i="10"/>
  <c r="Y11" i="10"/>
  <c r="Y18" i="10" s="1"/>
  <c r="X11" i="10"/>
  <c r="X18" i="10" s="1"/>
  <c r="U11" i="10"/>
  <c r="S11" i="10"/>
  <c r="B58" i="9" l="1"/>
  <c r="C57" i="9"/>
  <c r="C56" i="9"/>
  <c r="C55" i="9"/>
  <c r="B54" i="9"/>
  <c r="D20" i="9"/>
  <c r="D19" i="9"/>
  <c r="D17" i="9"/>
  <c r="L17" i="9" s="1"/>
  <c r="M18" i="9"/>
  <c r="N18" i="9" s="1"/>
  <c r="M13" i="9"/>
  <c r="N13" i="9" s="1"/>
  <c r="O13" i="9" s="1"/>
  <c r="D16" i="9"/>
  <c r="L20" i="9" l="1"/>
  <c r="M20" i="9" s="1"/>
  <c r="N20" i="9" s="1"/>
  <c r="L16" i="9"/>
  <c r="L19" i="9"/>
  <c r="M19" i="9" s="1"/>
  <c r="N19" i="9" s="1"/>
  <c r="P18" i="9"/>
  <c r="B62" i="9"/>
  <c r="M17" i="9"/>
  <c r="M15" i="9"/>
  <c r="N15" i="9" s="1"/>
  <c r="B64" i="9" l="1"/>
  <c r="L21" i="9"/>
  <c r="M16" i="9"/>
  <c r="N16" i="9" s="1"/>
  <c r="Q15" i="9"/>
  <c r="G26" i="9" s="1"/>
  <c r="O15" i="9"/>
  <c r="O21" i="9" s="1"/>
  <c r="D26" i="9" s="1"/>
  <c r="E26" i="9" s="1"/>
  <c r="P20" i="9"/>
  <c r="P19" i="9"/>
  <c r="P16" i="9"/>
  <c r="N17" i="9"/>
  <c r="F26" i="9" l="1"/>
  <c r="G33" i="9" s="1"/>
  <c r="E73" i="9"/>
  <c r="M21" i="9"/>
  <c r="E27" i="9"/>
  <c r="E28" i="9"/>
  <c r="N21" i="9"/>
  <c r="P17" i="9"/>
  <c r="P21" i="9" s="1"/>
  <c r="H26" i="9" l="1"/>
  <c r="I26" i="9" s="1"/>
  <c r="B26" i="9"/>
  <c r="C26" i="9"/>
  <c r="C27" i="9" s="1"/>
  <c r="E29" i="9"/>
  <c r="E30" i="9" s="1"/>
  <c r="G27" i="9"/>
  <c r="G28" i="9"/>
  <c r="C28" i="9"/>
  <c r="Q21" i="9"/>
  <c r="I28" i="9" l="1"/>
  <c r="I27" i="9"/>
  <c r="K27" i="9" s="1"/>
  <c r="K26" i="9"/>
  <c r="N26" i="9"/>
  <c r="M26" i="9"/>
  <c r="C29" i="9"/>
  <c r="C30" i="9" s="1"/>
  <c r="B31" i="9" s="1"/>
  <c r="B32" i="9" s="1"/>
  <c r="B42" i="9" s="1"/>
  <c r="G29" i="9"/>
  <c r="G30" i="9" s="1"/>
  <c r="G36" i="9" s="1"/>
  <c r="I29" i="9" l="1"/>
  <c r="K29" i="9"/>
  <c r="K28" i="9"/>
  <c r="K30" i="9" s="1"/>
  <c r="G71" i="9"/>
  <c r="G72" i="9"/>
  <c r="N28" i="9"/>
  <c r="N27" i="9"/>
  <c r="K36" i="9" l="1"/>
  <c r="C42" i="9"/>
  <c r="C44" i="9" s="1"/>
  <c r="I30" i="9"/>
  <c r="N30" i="9" s="1"/>
  <c r="H67" i="9" l="1"/>
  <c r="I36" i="9"/>
  <c r="N29" i="9"/>
  <c r="H71" i="9"/>
  <c r="H69" i="9"/>
  <c r="H68" i="9"/>
  <c r="H72" i="9"/>
  <c r="I69" i="9"/>
  <c r="I67" i="9"/>
  <c r="I72" i="9"/>
  <c r="I68" i="9"/>
  <c r="I71" i="9"/>
  <c r="I73" i="9" l="1"/>
  <c r="E36" i="9"/>
  <c r="G73" i="9" s="1"/>
  <c r="C37" i="9" l="1"/>
  <c r="N36" i="9"/>
  <c r="D61" i="9" l="1"/>
  <c r="C61" i="9" s="1"/>
  <c r="C62" i="9" s="1"/>
  <c r="K73" i="9" s="1"/>
  <c r="O36" i="9"/>
  <c r="F67" i="9" l="1"/>
  <c r="F72" i="9"/>
  <c r="J72" i="9" s="1"/>
  <c r="F71" i="9"/>
  <c r="J71" i="9" s="1"/>
  <c r="F68" i="9"/>
  <c r="J68" i="9" s="1"/>
  <c r="F69" i="9"/>
  <c r="J69" i="9" s="1"/>
  <c r="C64" i="9"/>
  <c r="D64" i="9" s="1"/>
  <c r="F73" i="9" l="1"/>
  <c r="J67" i="9"/>
  <c r="J73" i="9" s="1"/>
</calcChain>
</file>

<file path=xl/sharedStrings.xml><?xml version="1.0" encoding="utf-8"?>
<sst xmlns="http://schemas.openxmlformats.org/spreadsheetml/2006/main" count="238" uniqueCount="148">
  <si>
    <t>Gjøvik kommune</t>
  </si>
  <si>
    <t>Økonomiavdelingen</t>
  </si>
  <si>
    <t>Budsjett og rapportering</t>
  </si>
  <si>
    <t>Mandag</t>
  </si>
  <si>
    <t>Lørdag</t>
  </si>
  <si>
    <t>Søndag</t>
  </si>
  <si>
    <t>Ant timer</t>
  </si>
  <si>
    <t>Årslønn</t>
  </si>
  <si>
    <t>Kr pr time</t>
  </si>
  <si>
    <t>Utrykninger</t>
  </si>
  <si>
    <t>Sum timer pr uke</t>
  </si>
  <si>
    <t>Sum timer pr år</t>
  </si>
  <si>
    <t>Aktiv vakt</t>
  </si>
  <si>
    <t>Tirsdag</t>
  </si>
  <si>
    <t>Onsdag</t>
  </si>
  <si>
    <t>Torsdag</t>
  </si>
  <si>
    <t>Fredag</t>
  </si>
  <si>
    <t>14.00 - 21.30</t>
  </si>
  <si>
    <t>Turnus</t>
  </si>
  <si>
    <t>Ordinær/dagtid</t>
  </si>
  <si>
    <t>08.00 - 15.30</t>
  </si>
  <si>
    <t>Vakttype</t>
  </si>
  <si>
    <t>Dagvakt</t>
  </si>
  <si>
    <t>D</t>
  </si>
  <si>
    <t>AB</t>
  </si>
  <si>
    <t>Bakvakt 1/5</t>
  </si>
  <si>
    <t>Aftenvakt</t>
  </si>
  <si>
    <t>ALB</t>
  </si>
  <si>
    <t>08.00 - 18.00</t>
  </si>
  <si>
    <t xml:space="preserve">18.00 - 01.00 </t>
  </si>
  <si>
    <t>01.00 - 08.00</t>
  </si>
  <si>
    <t>21.30 - 08.00</t>
  </si>
  <si>
    <t>BH</t>
  </si>
  <si>
    <t>08.00 - 08.00</t>
  </si>
  <si>
    <t>Lønn</t>
  </si>
  <si>
    <t>Pensjon</t>
  </si>
  <si>
    <t>Aga</t>
  </si>
  <si>
    <t>Lønnsbudsjett</t>
  </si>
  <si>
    <t>Kv / natt</t>
  </si>
  <si>
    <t>Lø / sø</t>
  </si>
  <si>
    <t>Helligdag</t>
  </si>
  <si>
    <t>Region</t>
  </si>
  <si>
    <t xml:space="preserve">Gjøvik </t>
  </si>
  <si>
    <t>Østre Toten</t>
  </si>
  <si>
    <t>Vestre Toten</t>
  </si>
  <si>
    <t>Søndre Land</t>
  </si>
  <si>
    <t>Nordre Land</t>
  </si>
  <si>
    <t>Lunner</t>
  </si>
  <si>
    <t>Gjøvik</t>
  </si>
  <si>
    <t>Fordeling</t>
  </si>
  <si>
    <t>Driftsutg</t>
  </si>
  <si>
    <t>Leasingbil</t>
  </si>
  <si>
    <t>Kontorhold</t>
  </si>
  <si>
    <t>Kjøregodtgj</t>
  </si>
  <si>
    <t>Telefon</t>
  </si>
  <si>
    <t>IT - vaktdata fagsystem - årlig drift</t>
  </si>
  <si>
    <t>Svar ut</t>
  </si>
  <si>
    <t>Digitalt arkiv</t>
  </si>
  <si>
    <t>IT - vaktdata fagsystem - anskaffelse, alt se regnstykke</t>
  </si>
  <si>
    <t>Sikker kommunikasjon MDM - anskaffelse</t>
  </si>
  <si>
    <t>Sikker kommunikasjon MDM - drift</t>
  </si>
  <si>
    <t>Sikker kommunikasjon MDM - anskaffelse nettbrett</t>
  </si>
  <si>
    <t>Drift</t>
  </si>
  <si>
    <t>Dagvakt og kveldsvakt</t>
  </si>
  <si>
    <t>SUM</t>
  </si>
  <si>
    <t>Antall utrykinger</t>
  </si>
  <si>
    <t>Timer pr utrykning</t>
  </si>
  <si>
    <t>Sum utrykninger</t>
  </si>
  <si>
    <t>Dato/sign: 4.1.17/AA/teh</t>
  </si>
  <si>
    <t>Forslag til budsjett interkommunal barnevernvakt</t>
  </si>
  <si>
    <t>Bemanningsplan</t>
  </si>
  <si>
    <t>Ant årsverk - turnus</t>
  </si>
  <si>
    <t>Antall personer på vakt</t>
  </si>
  <si>
    <t>Dag og kveld (lønn)</t>
  </si>
  <si>
    <t>Anskaffelser - kun Gjøvikregionen</t>
  </si>
  <si>
    <t>Anskaffelser år 1</t>
  </si>
  <si>
    <t>Driftsutgifter pr år</t>
  </si>
  <si>
    <t>Kr pr t inkl  100 % overtid</t>
  </si>
  <si>
    <t>Ant personer på utryking</t>
  </si>
  <si>
    <t>Ant uker i turnus</t>
  </si>
  <si>
    <t>Info</t>
  </si>
  <si>
    <t>Kveld og natt tillegg fast</t>
  </si>
  <si>
    <t>Lørdag- og søndagstillegg</t>
  </si>
  <si>
    <t>Velg</t>
  </si>
  <si>
    <t>Nr.</t>
  </si>
  <si>
    <t>Stillingstype</t>
  </si>
  <si>
    <t>Navn</t>
  </si>
  <si>
    <t>Årslønn 100 % stilling</t>
  </si>
  <si>
    <t>Kostnadssted</t>
  </si>
  <si>
    <t>St. kat.</t>
  </si>
  <si>
    <t>St. %</t>
  </si>
  <si>
    <t>HRM</t>
  </si>
  <si>
    <t>IS</t>
  </si>
  <si>
    <t>Regelsett</t>
  </si>
  <si>
    <t>Fra dato</t>
  </si>
  <si>
    <t>Til dato</t>
  </si>
  <si>
    <t>Fast kveld/natt tillegg</t>
  </si>
  <si>
    <t>Fast lørd/søndagstillegg</t>
  </si>
  <si>
    <t xml:space="preserve">Pr mnd </t>
  </si>
  <si>
    <t>Avvik</t>
  </si>
  <si>
    <t>Sats</t>
  </si>
  <si>
    <t>Sum pr år inkl fp</t>
  </si>
  <si>
    <t>Ikke valgt</t>
  </si>
  <si>
    <t/>
  </si>
  <si>
    <t xml:space="preserve">Vakant, Vakant </t>
  </si>
  <si>
    <t>22000 - BARNEVERN</t>
  </si>
  <si>
    <t>RAMME3 - Høyskole</t>
  </si>
  <si>
    <t>TURN - Turnus</t>
  </si>
  <si>
    <t>05.12.2016</t>
  </si>
  <si>
    <t>15.01.2017</t>
  </si>
  <si>
    <t>Forslag til budsjett interkommunal barnevernvakt - ulempetillegg ihht turnus</t>
  </si>
  <si>
    <t>Ikke pensjon på dette tillegget, lønnart 114</t>
  </si>
  <si>
    <t xml:space="preserve">TIMER X1,33 </t>
  </si>
  <si>
    <t>KR HELLIGDAGSTILLEGG</t>
  </si>
  <si>
    <t>Dagvakter</t>
  </si>
  <si>
    <t>Fp sats</t>
  </si>
  <si>
    <t>Aftenvakter</t>
  </si>
  <si>
    <t>Nattvakter</t>
  </si>
  <si>
    <t>Arb g avg</t>
  </si>
  <si>
    <t>Barnevernvakt</t>
  </si>
  <si>
    <t>Personer pr vakt</t>
  </si>
  <si>
    <t>Vakter</t>
  </si>
  <si>
    <t>Timer = 1/5</t>
  </si>
  <si>
    <t>Timer inkl 1,33</t>
  </si>
  <si>
    <t>Beløp</t>
  </si>
  <si>
    <t>Helligdagstill</t>
  </si>
  <si>
    <t xml:space="preserve">HELLIGDAGSTILLEGG 2017 - ktoart 10109 </t>
  </si>
  <si>
    <t>Feriepenger</t>
  </si>
  <si>
    <t>Kostnad pr årsverk - gr lag for deling av dagvakt alle kommuner</t>
  </si>
  <si>
    <t>Kontroll</t>
  </si>
  <si>
    <t>%-vis fordeling bakvakt Land</t>
  </si>
  <si>
    <t>Tillegg for beredskapsvakt - ledere</t>
  </si>
  <si>
    <t xml:space="preserve">SUM lønn </t>
  </si>
  <si>
    <t>Fordeling av utgiftene med Lunner og kveldsvakt Land</t>
  </si>
  <si>
    <r>
      <t xml:space="preserve">%-vis andel </t>
    </r>
    <r>
      <rPr>
        <b/>
        <sz val="12"/>
        <color theme="1"/>
        <rFont val="Trebuchet MS"/>
        <family val="2"/>
      </rPr>
      <t/>
    </r>
  </si>
  <si>
    <t>Andel - bakvakt man- fre, Land (kveldsvakt)</t>
  </si>
  <si>
    <t>Se eget regneark</t>
  </si>
  <si>
    <t>SUM med Lunner</t>
  </si>
  <si>
    <t>Kurs/videreutdanning</t>
  </si>
  <si>
    <t>SUM alle</t>
  </si>
  <si>
    <r>
      <t xml:space="preserve">Barn 0 - 17 </t>
    </r>
    <r>
      <rPr>
        <sz val="12"/>
        <color theme="1"/>
        <rFont val="Calibri"/>
        <family val="2"/>
        <scheme val="minor"/>
      </rPr>
      <t>Kostra tabell 04688</t>
    </r>
    <r>
      <rPr>
        <b/>
        <sz val="12"/>
        <color theme="1"/>
        <rFont val="Calibri"/>
        <family val="2"/>
        <scheme val="minor"/>
      </rPr>
      <t xml:space="preserve"> pr 31.12.2016</t>
    </r>
  </si>
  <si>
    <t>Vertskommune 10 % av alle kostnader inkl lønn</t>
  </si>
  <si>
    <t>Sum Land</t>
  </si>
  <si>
    <t>Gran</t>
  </si>
  <si>
    <t>Sum Hadeland</t>
  </si>
  <si>
    <t>Dato/sign: 23.5.17/teh -AA</t>
  </si>
  <si>
    <t xml:space="preserve">Region </t>
  </si>
  <si>
    <t>Sum som skal fordeles på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</si>
</sst>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 * #,##0_ ;_ * \-#,##0_ ;_ * &quot;-&quot;??_ ;_ @_ "/>
    <numFmt numFmtId="165" formatCode="#,##0.0"/>
    <numFmt numFmtId="166" formatCode="0.0\ %"/>
    <numFmt numFmtId="167" formatCode="#,##0.0000"/>
    <numFmt numFmtId="168" formatCode="_(* #,##0.00_);_(* \(#,##0.00\);_(* &quot;-&quot;??_);_(@_)"/>
    <numFmt numFmtId="169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color theme="1"/>
      <name val="Trebuchet MS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Trebuchet MS"/>
      <family val="2"/>
    </font>
    <font>
      <sz val="12"/>
      <color theme="1"/>
      <name val="Trebuchet MS"/>
      <family val="2"/>
    </font>
    <font>
      <sz val="14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name val="Trebuchet MS"/>
      <family val="2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2"/>
      <name val="Trebuchet MS"/>
      <family val="2"/>
    </font>
    <font>
      <b/>
      <sz val="16"/>
      <color theme="1"/>
      <name val="Trebuchet MS"/>
      <family val="2"/>
    </font>
    <font>
      <b/>
      <sz val="12"/>
      <color theme="0" tint="-0.249977111117893"/>
      <name val="Trebuchet MS"/>
      <family val="2"/>
    </font>
    <font>
      <sz val="12"/>
      <color theme="0" tint="-0.249977111117893"/>
      <name val="Trebuchet MS"/>
      <family val="2"/>
    </font>
    <font>
      <b/>
      <sz val="8"/>
      <name val="Tahoma"/>
      <family val="2"/>
    </font>
    <font>
      <sz val="10"/>
      <color theme="1"/>
      <name val="Trebuchet MS"/>
      <family val="2"/>
    </font>
    <font>
      <sz val="8.25"/>
      <color rgb="FF000000"/>
      <name val="Tahoma"/>
      <family val="2"/>
    </font>
    <font>
      <sz val="12"/>
      <color indexed="10"/>
      <name val="Trebuchet MS"/>
      <family val="2"/>
    </font>
    <font>
      <b/>
      <sz val="14"/>
      <name val="Trebuchet MS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3D3D3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rgb="FF00B050"/>
      </left>
      <right style="thick">
        <color rgb="FF00B050"/>
      </right>
      <top/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/>
      <bottom/>
      <diagonal/>
    </border>
    <border>
      <left style="thin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n">
        <color rgb="FF00B050"/>
      </left>
      <right/>
      <top/>
      <bottom/>
      <diagonal/>
    </border>
    <border>
      <left style="thin">
        <color rgb="FF00B050"/>
      </left>
      <right/>
      <top/>
      <bottom style="thick">
        <color rgb="FF00B050"/>
      </bottom>
      <diagonal/>
    </border>
  </borders>
  <cellStyleXfs count="6">
    <xf numFmtId="0" fontId="0" fillId="0" borderId="0"/>
    <xf numFmtId="0" fontId="3" fillId="0" borderId="0"/>
    <xf numFmtId="9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</cellStyleXfs>
  <cellXfs count="169">
    <xf numFmtId="0" fontId="0" fillId="0" borderId="0" xfId="0"/>
    <xf numFmtId="0" fontId="2" fillId="0" borderId="0" xfId="0" applyFont="1"/>
    <xf numFmtId="0" fontId="7" fillId="0" borderId="0" xfId="0" applyFont="1"/>
    <xf numFmtId="0" fontId="5" fillId="0" borderId="0" xfId="0" applyFont="1"/>
    <xf numFmtId="0" fontId="6" fillId="0" borderId="0" xfId="0" applyFont="1"/>
    <xf numFmtId="0" fontId="11" fillId="0" borderId="0" xfId="0" applyFont="1"/>
    <xf numFmtId="0" fontId="11" fillId="0" borderId="0" xfId="0" applyFont="1" applyFill="1"/>
    <xf numFmtId="0" fontId="12" fillId="0" borderId="0" xfId="0" applyFont="1" applyFill="1"/>
    <xf numFmtId="0" fontId="12" fillId="0" borderId="0" xfId="0" quotePrefix="1" applyFont="1"/>
    <xf numFmtId="4" fontId="11" fillId="0" borderId="0" xfId="0" applyNumberFormat="1" applyFont="1"/>
    <xf numFmtId="4" fontId="12" fillId="0" borderId="0" xfId="0" applyNumberFormat="1" applyFont="1" applyFill="1"/>
    <xf numFmtId="0" fontId="1" fillId="0" borderId="0" xfId="0" applyFont="1"/>
    <xf numFmtId="0" fontId="13" fillId="0" borderId="0" xfId="0" quotePrefix="1" applyFont="1"/>
    <xf numFmtId="0" fontId="0" fillId="0" borderId="0" xfId="0" applyNumberFormat="1"/>
    <xf numFmtId="4" fontId="9" fillId="0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4" fontId="9" fillId="0" borderId="0" xfId="0" applyNumberFormat="1" applyFont="1" applyFill="1"/>
    <xf numFmtId="0" fontId="9" fillId="3" borderId="0" xfId="0" applyFont="1" applyFill="1"/>
    <xf numFmtId="49" fontId="16" fillId="8" borderId="12" xfId="1" applyNumberFormat="1" applyFont="1" applyFill="1" applyBorder="1" applyAlignment="1" applyProtection="1">
      <alignment horizontal="center" vertical="center"/>
    </xf>
    <xf numFmtId="0" fontId="16" fillId="8" borderId="12" xfId="1" applyNumberFormat="1" applyFont="1" applyFill="1" applyBorder="1" applyAlignment="1" applyProtection="1">
      <alignment horizontal="center" vertical="center"/>
    </xf>
    <xf numFmtId="0" fontId="5" fillId="9" borderId="0" xfId="0" applyFont="1" applyFill="1"/>
    <xf numFmtId="44" fontId="5" fillId="0" borderId="15" xfId="0" applyNumberFormat="1" applyFont="1" applyBorder="1"/>
    <xf numFmtId="49" fontId="16" fillId="8" borderId="12" xfId="1" applyNumberFormat="1" applyFont="1" applyFill="1" applyBorder="1" applyAlignment="1" applyProtection="1">
      <alignment horizontal="center" vertical="center" wrapText="1"/>
    </xf>
    <xf numFmtId="4" fontId="5" fillId="0" borderId="2" xfId="0" applyNumberFormat="1" applyFont="1" applyBorder="1"/>
    <xf numFmtId="4" fontId="17" fillId="2" borderId="0" xfId="0" applyNumberFormat="1" applyFont="1" applyFill="1" applyBorder="1"/>
    <xf numFmtId="4" fontId="5" fillId="0" borderId="0" xfId="0" applyNumberFormat="1" applyFont="1" applyBorder="1"/>
    <xf numFmtId="4" fontId="5" fillId="0" borderId="3" xfId="0" applyNumberFormat="1" applyFont="1" applyBorder="1" applyAlignment="1">
      <alignment wrapText="1"/>
    </xf>
    <xf numFmtId="0" fontId="5" fillId="0" borderId="3" xfId="0" applyFont="1" applyBorder="1"/>
    <xf numFmtId="0" fontId="18" fillId="10" borderId="16" xfId="5" applyNumberFormat="1" applyFont="1" applyFill="1" applyBorder="1" applyAlignment="1" applyProtection="1">
      <alignment horizontal="left" vertical="center"/>
    </xf>
    <xf numFmtId="0" fontId="18" fillId="10" borderId="16" xfId="5" applyNumberFormat="1" applyFont="1" applyFill="1" applyBorder="1" applyAlignment="1" applyProtection="1">
      <alignment horizontal="right" vertical="center"/>
    </xf>
    <xf numFmtId="4" fontId="0" fillId="0" borderId="0" xfId="0" applyNumberFormat="1" applyBorder="1"/>
    <xf numFmtId="164" fontId="0" fillId="0" borderId="3" xfId="3" applyNumberFormat="1" applyFont="1" applyBorder="1"/>
    <xf numFmtId="164" fontId="0" fillId="0" borderId="0" xfId="3" applyNumberFormat="1" applyFont="1"/>
    <xf numFmtId="164" fontId="5" fillId="0" borderId="0" xfId="3" applyNumberFormat="1" applyFont="1"/>
    <xf numFmtId="0" fontId="12" fillId="0" borderId="0" xfId="0" applyFont="1"/>
    <xf numFmtId="3" fontId="12" fillId="0" borderId="0" xfId="0" applyNumberFormat="1" applyFont="1"/>
    <xf numFmtId="169" fontId="12" fillId="0" borderId="0" xfId="3" applyNumberFormat="1" applyFont="1"/>
    <xf numFmtId="43" fontId="12" fillId="0" borderId="0" xfId="3" applyFont="1"/>
    <xf numFmtId="9" fontId="12" fillId="0" borderId="0" xfId="2" applyFont="1"/>
    <xf numFmtId="168" fontId="11" fillId="0" borderId="0" xfId="0" applyNumberFormat="1" applyFont="1"/>
    <xf numFmtId="166" fontId="12" fillId="0" borderId="0" xfId="2" applyNumberFormat="1" applyFont="1"/>
    <xf numFmtId="9" fontId="12" fillId="0" borderId="0" xfId="2" applyFont="1" applyFill="1"/>
    <xf numFmtId="3" fontId="12" fillId="0" borderId="0" xfId="0" applyNumberFormat="1" applyFont="1" applyFill="1"/>
    <xf numFmtId="0" fontId="11" fillId="11" borderId="0" xfId="0" applyFont="1" applyFill="1"/>
    <xf numFmtId="0" fontId="11" fillId="12" borderId="0" xfId="0" applyFont="1" applyFill="1"/>
    <xf numFmtId="3" fontId="11" fillId="0" borderId="0" xfId="0" applyNumberFormat="1" applyFont="1"/>
    <xf numFmtId="0" fontId="12" fillId="11" borderId="0" xfId="0" applyFont="1" applyFill="1"/>
    <xf numFmtId="0" fontId="11" fillId="12" borderId="1" xfId="0" applyFont="1" applyFill="1" applyBorder="1"/>
    <xf numFmtId="0" fontId="12" fillId="0" borderId="1" xfId="0" applyFont="1" applyBorder="1"/>
    <xf numFmtId="3" fontId="12" fillId="0" borderId="0" xfId="3" applyNumberFormat="1" applyFont="1"/>
    <xf numFmtId="169" fontId="12" fillId="0" borderId="0" xfId="0" applyNumberFormat="1" applyFont="1"/>
    <xf numFmtId="37" fontId="12" fillId="0" borderId="0" xfId="0" applyNumberFormat="1" applyFont="1"/>
    <xf numFmtId="169" fontId="12" fillId="11" borderId="0" xfId="0" applyNumberFormat="1" applyFont="1" applyFill="1"/>
    <xf numFmtId="169" fontId="11" fillId="0" borderId="0" xfId="0" applyNumberFormat="1" applyFont="1"/>
    <xf numFmtId="3" fontId="19" fillId="0" borderId="0" xfId="0" applyNumberFormat="1" applyFont="1"/>
    <xf numFmtId="0" fontId="20" fillId="0" borderId="0" xfId="0" applyFont="1"/>
    <xf numFmtId="0" fontId="15" fillId="0" borderId="0" xfId="0" applyFont="1"/>
    <xf numFmtId="10" fontId="15" fillId="0" borderId="0" xfId="2" applyNumberFormat="1" applyFont="1"/>
    <xf numFmtId="0" fontId="14" fillId="0" borderId="0" xfId="0" applyFont="1"/>
    <xf numFmtId="0" fontId="21" fillId="0" borderId="0" xfId="0" applyFont="1"/>
    <xf numFmtId="0" fontId="0" fillId="0" borderId="0" xfId="0" applyFont="1"/>
    <xf numFmtId="0" fontId="22" fillId="0" borderId="0" xfId="0" quotePrefix="1" applyFont="1"/>
    <xf numFmtId="0" fontId="23" fillId="4" borderId="0" xfId="0" applyFont="1" applyFill="1"/>
    <xf numFmtId="0" fontId="23" fillId="0" borderId="0" xfId="0" applyFont="1"/>
    <xf numFmtId="3" fontId="21" fillId="0" borderId="0" xfId="0" applyNumberFormat="1" applyFont="1"/>
    <xf numFmtId="0" fontId="21" fillId="0" borderId="0" xfId="0" applyFont="1" applyFill="1" applyBorder="1"/>
    <xf numFmtId="0" fontId="21" fillId="0" borderId="0" xfId="0" applyFont="1" applyBorder="1"/>
    <xf numFmtId="0" fontId="23" fillId="0" borderId="17" xfId="0" applyFont="1" applyBorder="1" applyAlignment="1"/>
    <xf numFmtId="0" fontId="23" fillId="0" borderId="0" xfId="0" applyFont="1" applyFill="1" applyBorder="1" applyAlignment="1"/>
    <xf numFmtId="0" fontId="23" fillId="0" borderId="5" xfId="0" applyFont="1" applyBorder="1"/>
    <xf numFmtId="0" fontId="23" fillId="0" borderId="0" xfId="0" applyFont="1" applyAlignment="1">
      <alignment wrapText="1"/>
    </xf>
    <xf numFmtId="0" fontId="23" fillId="0" borderId="18" xfId="0" applyFont="1" applyBorder="1"/>
    <xf numFmtId="0" fontId="23" fillId="0" borderId="0" xfId="0" applyFont="1" applyBorder="1" applyAlignment="1">
      <alignment wrapText="1"/>
    </xf>
    <xf numFmtId="0" fontId="24" fillId="7" borderId="17" xfId="0" applyFont="1" applyFill="1" applyBorder="1" applyAlignment="1">
      <alignment wrapText="1"/>
    </xf>
    <xf numFmtId="0" fontId="25" fillId="0" borderId="0" xfId="0" applyFont="1" applyAlignment="1">
      <alignment wrapText="1"/>
    </xf>
    <xf numFmtId="0" fontId="21" fillId="0" borderId="6" xfId="0" applyFont="1" applyBorder="1"/>
    <xf numFmtId="0" fontId="21" fillId="0" borderId="4" xfId="0" applyFont="1" applyBorder="1"/>
    <xf numFmtId="0" fontId="21" fillId="0" borderId="11" xfId="0" applyFont="1" applyBorder="1"/>
    <xf numFmtId="0" fontId="21" fillId="0" borderId="7" xfId="0" applyFont="1" applyBorder="1"/>
    <xf numFmtId="165" fontId="21" fillId="0" borderId="0" xfId="0" applyNumberFormat="1" applyFont="1"/>
    <xf numFmtId="2" fontId="21" fillId="0" borderId="0" xfId="0" applyNumberFormat="1" applyFont="1"/>
    <xf numFmtId="2" fontId="21" fillId="0" borderId="18" xfId="0" applyNumberFormat="1" applyFont="1" applyBorder="1"/>
    <xf numFmtId="2" fontId="21" fillId="0" borderId="0" xfId="0" applyNumberFormat="1" applyFont="1" applyBorder="1"/>
    <xf numFmtId="4" fontId="26" fillId="0" borderId="0" xfId="0" applyNumberFormat="1" applyFont="1"/>
    <xf numFmtId="2" fontId="24" fillId="7" borderId="17" xfId="0" applyNumberFormat="1" applyFont="1" applyFill="1" applyBorder="1" applyAlignment="1">
      <alignment wrapText="1"/>
    </xf>
    <xf numFmtId="0" fontId="21" fillId="0" borderId="8" xfId="0" applyFont="1" applyBorder="1"/>
    <xf numFmtId="0" fontId="21" fillId="0" borderId="9" xfId="0" applyFont="1" applyBorder="1"/>
    <xf numFmtId="0" fontId="21" fillId="0" borderId="10" xfId="0" applyFont="1" applyBorder="1"/>
    <xf numFmtId="4" fontId="23" fillId="0" borderId="0" xfId="0" applyNumberFormat="1" applyFont="1"/>
    <xf numFmtId="4" fontId="23" fillId="0" borderId="18" xfId="0" applyNumberFormat="1" applyFont="1" applyBorder="1"/>
    <xf numFmtId="2" fontId="23" fillId="0" borderId="0" xfId="0" applyNumberFormat="1" applyFont="1" applyBorder="1"/>
    <xf numFmtId="4" fontId="25" fillId="0" borderId="0" xfId="0" applyNumberFormat="1" applyFont="1"/>
    <xf numFmtId="4" fontId="21" fillId="0" borderId="0" xfId="0" applyNumberFormat="1" applyFont="1"/>
    <xf numFmtId="3" fontId="23" fillId="3" borderId="0" xfId="0" applyNumberFormat="1" applyFont="1" applyFill="1"/>
    <xf numFmtId="0" fontId="23" fillId="0" borderId="20" xfId="0" applyFont="1" applyBorder="1"/>
    <xf numFmtId="0" fontId="23" fillId="0" borderId="21" xfId="0" applyFont="1" applyBorder="1"/>
    <xf numFmtId="0" fontId="27" fillId="7" borderId="21" xfId="0" applyFont="1" applyFill="1" applyBorder="1" applyAlignment="1">
      <alignment wrapText="1"/>
    </xf>
    <xf numFmtId="0" fontId="27" fillId="7" borderId="22" xfId="0" applyFont="1" applyFill="1" applyBorder="1" applyAlignment="1">
      <alignment wrapText="1"/>
    </xf>
    <xf numFmtId="0" fontId="23" fillId="0" borderId="21" xfId="0" applyFont="1" applyBorder="1" applyAlignment="1">
      <alignment horizontal="left" wrapText="1"/>
    </xf>
    <xf numFmtId="0" fontId="23" fillId="0" borderId="20" xfId="0" applyFont="1" applyBorder="1" applyAlignment="1">
      <alignment horizontal="center"/>
    </xf>
    <xf numFmtId="0" fontId="23" fillId="0" borderId="26" xfId="0" applyFont="1" applyBorder="1" applyAlignment="1">
      <alignment horizontal="left" wrapText="1"/>
    </xf>
    <xf numFmtId="0" fontId="23" fillId="0" borderId="24" xfId="0" applyFont="1" applyBorder="1" applyAlignment="1">
      <alignment wrapText="1"/>
    </xf>
    <xf numFmtId="0" fontId="28" fillId="5" borderId="0" xfId="0" applyFont="1" applyFill="1" applyAlignment="1">
      <alignment horizontal="center"/>
    </xf>
    <xf numFmtId="4" fontId="21" fillId="0" borderId="18" xfId="0" applyNumberFormat="1" applyFont="1" applyBorder="1"/>
    <xf numFmtId="3" fontId="21" fillId="0" borderId="0" xfId="0" applyNumberFormat="1" applyFont="1" applyBorder="1"/>
    <xf numFmtId="4" fontId="27" fillId="7" borderId="18" xfId="0" applyNumberFormat="1" applyFont="1" applyFill="1" applyBorder="1"/>
    <xf numFmtId="3" fontId="27" fillId="7" borderId="19" xfId="0" applyNumberFormat="1" applyFont="1" applyFill="1" applyBorder="1"/>
    <xf numFmtId="3" fontId="21" fillId="0" borderId="25" xfId="0" applyNumberFormat="1" applyFont="1" applyBorder="1"/>
    <xf numFmtId="3" fontId="21" fillId="0" borderId="23" xfId="0" applyNumberFormat="1" applyFont="1" applyBorder="1"/>
    <xf numFmtId="4" fontId="29" fillId="5" borderId="0" xfId="0" applyNumberFormat="1" applyFont="1" applyFill="1"/>
    <xf numFmtId="3" fontId="28" fillId="5" borderId="0" xfId="0" applyNumberFormat="1" applyFont="1" applyFill="1"/>
    <xf numFmtId="167" fontId="21" fillId="0" borderId="0" xfId="0" applyNumberFormat="1" applyFont="1"/>
    <xf numFmtId="0" fontId="21" fillId="0" borderId="18" xfId="0" applyFont="1" applyBorder="1"/>
    <xf numFmtId="167" fontId="27" fillId="7" borderId="18" xfId="0" applyNumberFormat="1" applyFont="1" applyFill="1" applyBorder="1"/>
    <xf numFmtId="4" fontId="28" fillId="5" borderId="0" xfId="0" applyNumberFormat="1" applyFont="1" applyFill="1"/>
    <xf numFmtId="9" fontId="21" fillId="0" borderId="0" xfId="4" applyFont="1"/>
    <xf numFmtId="9" fontId="27" fillId="7" borderId="18" xfId="4" applyFont="1" applyFill="1" applyBorder="1"/>
    <xf numFmtId="166" fontId="21" fillId="0" borderId="0" xfId="4" applyNumberFormat="1" applyFont="1"/>
    <xf numFmtId="166" fontId="27" fillId="7" borderId="18" xfId="4" applyNumberFormat="1" applyFont="1" applyFill="1" applyBorder="1"/>
    <xf numFmtId="3" fontId="23" fillId="0" borderId="0" xfId="0" applyNumberFormat="1" applyFont="1"/>
    <xf numFmtId="3" fontId="23" fillId="0" borderId="0" xfId="0" applyNumberFormat="1" applyFont="1" applyBorder="1"/>
    <xf numFmtId="3" fontId="27" fillId="7" borderId="18" xfId="0" applyNumberFormat="1" applyFont="1" applyFill="1" applyBorder="1"/>
    <xf numFmtId="3" fontId="30" fillId="7" borderId="19" xfId="0" applyNumberFormat="1" applyFont="1" applyFill="1" applyBorder="1"/>
    <xf numFmtId="3" fontId="23" fillId="0" borderId="25" xfId="0" applyNumberFormat="1" applyFont="1" applyBorder="1"/>
    <xf numFmtId="3" fontId="23" fillId="0" borderId="23" xfId="0" applyNumberFormat="1" applyFont="1" applyBorder="1"/>
    <xf numFmtId="0" fontId="23" fillId="7" borderId="0" xfId="0" applyFont="1" applyFill="1" applyAlignment="1">
      <alignment wrapText="1"/>
    </xf>
    <xf numFmtId="3" fontId="23" fillId="7" borderId="0" xfId="0" applyNumberFormat="1" applyFont="1" applyFill="1"/>
    <xf numFmtId="0" fontId="21" fillId="0" borderId="25" xfId="0" applyFont="1" applyBorder="1"/>
    <xf numFmtId="0" fontId="21" fillId="0" borderId="23" xfId="0" applyFont="1" applyBorder="1"/>
    <xf numFmtId="0" fontId="31" fillId="0" borderId="0" xfId="0" applyFont="1"/>
    <xf numFmtId="164" fontId="27" fillId="7" borderId="19" xfId="3" applyNumberFormat="1" applyFont="1" applyFill="1" applyBorder="1"/>
    <xf numFmtId="0" fontId="27" fillId="7" borderId="19" xfId="0" applyFont="1" applyFill="1" applyBorder="1"/>
    <xf numFmtId="0" fontId="23" fillId="0" borderId="0" xfId="0" applyFont="1" applyFill="1"/>
    <xf numFmtId="3" fontId="21" fillId="0" borderId="0" xfId="0" applyNumberFormat="1" applyFont="1" applyFill="1"/>
    <xf numFmtId="3" fontId="23" fillId="0" borderId="0" xfId="0" applyNumberFormat="1" applyFont="1" applyFill="1"/>
    <xf numFmtId="3" fontId="23" fillId="0" borderId="0" xfId="0" applyNumberFormat="1" applyFont="1" applyFill="1" applyBorder="1"/>
    <xf numFmtId="3" fontId="27" fillId="0" borderId="0" xfId="0" applyNumberFormat="1" applyFont="1" applyFill="1" applyBorder="1"/>
    <xf numFmtId="3" fontId="30" fillId="0" borderId="0" xfId="0" applyNumberFormat="1" applyFont="1" applyFill="1" applyBorder="1"/>
    <xf numFmtId="0" fontId="21" fillId="0" borderId="0" xfId="0" applyFont="1" applyFill="1"/>
    <xf numFmtId="0" fontId="31" fillId="0" borderId="0" xfId="0" applyFont="1" applyFill="1"/>
    <xf numFmtId="3" fontId="28" fillId="0" borderId="0" xfId="0" applyNumberFormat="1" applyFont="1" applyFill="1"/>
    <xf numFmtId="0" fontId="23" fillId="6" borderId="0" xfId="0" applyFont="1" applyFill="1"/>
    <xf numFmtId="3" fontId="21" fillId="3" borderId="0" xfId="0" applyNumberFormat="1" applyFont="1" applyFill="1"/>
    <xf numFmtId="164" fontId="23" fillId="0" borderId="0" xfId="3" applyNumberFormat="1" applyFont="1"/>
    <xf numFmtId="3" fontId="23" fillId="0" borderId="0" xfId="0" applyNumberFormat="1" applyFont="1" applyAlignment="1">
      <alignment wrapText="1"/>
    </xf>
    <xf numFmtId="0" fontId="32" fillId="0" borderId="0" xfId="0" applyFont="1" applyFill="1"/>
    <xf numFmtId="3" fontId="33" fillId="0" borderId="0" xfId="0" applyNumberFormat="1" applyFont="1" applyFill="1"/>
    <xf numFmtId="0" fontId="23" fillId="4" borderId="0" xfId="0" applyFont="1" applyFill="1" applyAlignment="1">
      <alignment wrapText="1"/>
    </xf>
    <xf numFmtId="3" fontId="23" fillId="2" borderId="0" xfId="0" applyNumberFormat="1" applyFont="1" applyFill="1" applyAlignment="1">
      <alignment wrapText="1"/>
    </xf>
    <xf numFmtId="0" fontId="21" fillId="2" borderId="0" xfId="0" quotePrefix="1" applyFont="1" applyFill="1" applyAlignment="1">
      <alignment wrapText="1"/>
    </xf>
    <xf numFmtId="3" fontId="23" fillId="2" borderId="0" xfId="0" applyNumberFormat="1" applyFont="1" applyFill="1"/>
    <xf numFmtId="0" fontId="23" fillId="2" borderId="0" xfId="0" applyFont="1" applyFill="1"/>
    <xf numFmtId="0" fontId="23" fillId="2" borderId="0" xfId="0" applyFont="1" applyFill="1" applyAlignment="1">
      <alignment wrapText="1"/>
    </xf>
    <xf numFmtId="164" fontId="21" fillId="0" borderId="0" xfId="3" applyNumberFormat="1" applyFont="1"/>
    <xf numFmtId="164" fontId="21" fillId="0" borderId="0" xfId="0" applyNumberFormat="1" applyFont="1"/>
    <xf numFmtId="164" fontId="23" fillId="0" borderId="0" xfId="0" applyNumberFormat="1" applyFont="1"/>
    <xf numFmtId="9" fontId="21" fillId="0" borderId="0" xfId="0" applyNumberFormat="1" applyFont="1"/>
    <xf numFmtId="164" fontId="25" fillId="0" borderId="0" xfId="3" applyNumberFormat="1" applyFont="1" applyAlignment="1">
      <alignment wrapText="1"/>
    </xf>
    <xf numFmtId="0" fontId="23" fillId="0" borderId="20" xfId="0" applyFont="1" applyBorder="1" applyAlignment="1">
      <alignment wrapText="1"/>
    </xf>
    <xf numFmtId="0" fontId="34" fillId="0" borderId="0" xfId="0" applyFont="1"/>
    <xf numFmtId="0" fontId="33" fillId="0" borderId="0" xfId="0" applyFont="1" applyFill="1"/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49" fontId="16" fillId="8" borderId="12" xfId="1" applyNumberFormat="1" applyFont="1" applyFill="1" applyBorder="1" applyAlignment="1" applyProtection="1">
      <alignment horizontal="center" vertical="center"/>
    </xf>
    <xf numFmtId="4" fontId="9" fillId="0" borderId="13" xfId="0" applyNumberFormat="1" applyFont="1" applyFill="1" applyBorder="1" applyAlignment="1">
      <alignment horizontal="center"/>
    </xf>
    <xf numFmtId="4" fontId="9" fillId="0" borderId="14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</cellXfs>
  <cellStyles count="6">
    <cellStyle name="Komma" xfId="3" builtinId="3"/>
    <cellStyle name="Normal" xfId="0" builtinId="0"/>
    <cellStyle name="Normal 2" xfId="1"/>
    <cellStyle name="Normal 4" xfId="5"/>
    <cellStyle name="Prosent" xfId="4" builtinId="5"/>
    <cellStyle name="Prosent 2" xfId="2"/>
  </cellStyles>
  <dxfs count="0"/>
  <tableStyles count="0" defaultTableStyle="TableStyleMedium2" defaultPivotStyle="PivotStyleLight16"/>
  <colors>
    <mruColors>
      <color rgb="FFFFFF99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79"/>
  <sheetViews>
    <sheetView tabSelected="1" topLeftCell="C28" zoomScale="80" zoomScaleNormal="80" workbookViewId="0">
      <selection activeCell="C67" sqref="C67:J67"/>
    </sheetView>
  </sheetViews>
  <sheetFormatPr baseColWidth="10" defaultColWidth="11.42578125" defaultRowHeight="15.75" outlineLevelCol="1" x14ac:dyDescent="0.25"/>
  <cols>
    <col min="1" max="1" width="65.85546875" style="59" bestFit="1" customWidth="1"/>
    <col min="2" max="2" width="25.140625" style="59" customWidth="1" outlineLevel="1"/>
    <col min="3" max="3" width="16.7109375" style="59" customWidth="1" outlineLevel="1"/>
    <col min="4" max="4" width="14.28515625" style="59" customWidth="1" outlineLevel="1"/>
    <col min="5" max="10" width="16.7109375" style="59" customWidth="1" outlineLevel="1"/>
    <col min="11" max="11" width="16.7109375" style="59" customWidth="1"/>
    <col min="12" max="12" width="13.140625" style="59" bestFit="1" customWidth="1"/>
    <col min="13" max="13" width="12.85546875" style="59" bestFit="1" customWidth="1"/>
    <col min="14" max="14" width="14.5703125" style="59" bestFit="1" customWidth="1"/>
    <col min="15" max="15" width="10.7109375" style="59" customWidth="1"/>
    <col min="16" max="16" width="15" style="59" customWidth="1"/>
    <col min="17" max="17" width="17.28515625" style="59" customWidth="1"/>
    <col min="18" max="18" width="16.5703125" style="59" customWidth="1"/>
    <col min="19" max="16384" width="11.42578125" style="59"/>
  </cols>
  <sheetData>
    <row r="1" spans="1:20" ht="18.75" x14ac:dyDescent="0.3">
      <c r="A1" s="159" t="s">
        <v>0</v>
      </c>
    </row>
    <row r="2" spans="1:20" x14ac:dyDescent="0.25">
      <c r="A2" s="60" t="s">
        <v>1</v>
      </c>
    </row>
    <row r="3" spans="1:20" ht="15.6" x14ac:dyDescent="0.3">
      <c r="A3" s="60" t="s">
        <v>2</v>
      </c>
    </row>
    <row r="4" spans="1:20" ht="15.6" x14ac:dyDescent="0.3">
      <c r="A4" s="60" t="s">
        <v>145</v>
      </c>
    </row>
    <row r="5" spans="1:20" ht="15.6" x14ac:dyDescent="0.3">
      <c r="A5" s="60"/>
    </row>
    <row r="6" spans="1:20" ht="21" x14ac:dyDescent="0.4">
      <c r="A6" s="61" t="s">
        <v>69</v>
      </c>
    </row>
    <row r="7" spans="1:20" ht="21" x14ac:dyDescent="0.4">
      <c r="A7" s="61"/>
    </row>
    <row r="8" spans="1:20" x14ac:dyDescent="0.25">
      <c r="A8" s="62" t="s">
        <v>70</v>
      </c>
      <c r="B8" s="63" t="s">
        <v>19</v>
      </c>
      <c r="C8" s="63" t="s">
        <v>18</v>
      </c>
    </row>
    <row r="9" spans="1:20" ht="15.6" x14ac:dyDescent="0.3">
      <c r="B9" s="63">
        <v>37.5</v>
      </c>
      <c r="C9" s="63">
        <v>35.5</v>
      </c>
    </row>
    <row r="10" spans="1:20" ht="15.6" x14ac:dyDescent="0.3">
      <c r="B10" s="64">
        <v>1950</v>
      </c>
      <c r="C10" s="64">
        <v>1846</v>
      </c>
      <c r="S10" s="65"/>
      <c r="T10" s="66"/>
    </row>
    <row r="11" spans="1:20" ht="32.25" thickBot="1" x14ac:dyDescent="0.3">
      <c r="E11" s="70" t="s">
        <v>72</v>
      </c>
      <c r="O11" s="161" t="s">
        <v>49</v>
      </c>
      <c r="P11" s="162"/>
      <c r="Q11" s="67"/>
      <c r="R11" s="68"/>
      <c r="T11" s="66"/>
    </row>
    <row r="12" spans="1:20" ht="48.75" thickTop="1" thickBot="1" x14ac:dyDescent="0.3">
      <c r="B12" s="63" t="s">
        <v>21</v>
      </c>
      <c r="D12" s="63" t="s">
        <v>6</v>
      </c>
      <c r="E12" s="69" t="s">
        <v>3</v>
      </c>
      <c r="F12" s="69" t="s">
        <v>13</v>
      </c>
      <c r="G12" s="69" t="s">
        <v>14</v>
      </c>
      <c r="H12" s="69" t="s">
        <v>15</v>
      </c>
      <c r="I12" s="69" t="s">
        <v>16</v>
      </c>
      <c r="J12" s="69" t="s">
        <v>4</v>
      </c>
      <c r="K12" s="69" t="s">
        <v>5</v>
      </c>
      <c r="L12" s="70" t="s">
        <v>10</v>
      </c>
      <c r="M12" s="70" t="s">
        <v>11</v>
      </c>
      <c r="N12" s="70" t="s">
        <v>71</v>
      </c>
      <c r="O12" s="71" t="s">
        <v>48</v>
      </c>
      <c r="P12" s="72" t="s">
        <v>146</v>
      </c>
      <c r="Q12" s="73" t="s">
        <v>135</v>
      </c>
      <c r="R12" s="74"/>
      <c r="T12" s="66"/>
    </row>
    <row r="13" spans="1:20" ht="16.149999999999999" thickTop="1" x14ac:dyDescent="0.3">
      <c r="A13" s="59" t="s">
        <v>22</v>
      </c>
      <c r="B13" s="59" t="s">
        <v>23</v>
      </c>
      <c r="C13" s="59" t="s">
        <v>20</v>
      </c>
      <c r="D13" s="63">
        <v>7.5</v>
      </c>
      <c r="E13" s="75">
        <v>1</v>
      </c>
      <c r="F13" s="76">
        <v>1</v>
      </c>
      <c r="G13" s="76">
        <v>1</v>
      </c>
      <c r="H13" s="76">
        <v>1</v>
      </c>
      <c r="I13" s="76">
        <v>1</v>
      </c>
      <c r="J13" s="77"/>
      <c r="K13" s="78"/>
      <c r="L13" s="59">
        <f t="shared" ref="L13:L20" si="0">(E13+F13+G13+H13+I13+J13+K13)*D13</f>
        <v>37.5</v>
      </c>
      <c r="M13" s="79">
        <f>L13*52</f>
        <v>1950</v>
      </c>
      <c r="N13" s="80">
        <f t="shared" ref="N13:N20" si="1">M13/$C$10</f>
        <v>1.056338028169014</v>
      </c>
      <c r="O13" s="81">
        <f>N13-P13</f>
        <v>5.6338028169014009E-2</v>
      </c>
      <c r="P13" s="82">
        <f>1</f>
        <v>1</v>
      </c>
      <c r="Q13" s="73"/>
      <c r="R13" s="83"/>
      <c r="T13" s="66"/>
    </row>
    <row r="14" spans="1:20" ht="15.6" x14ac:dyDescent="0.3">
      <c r="A14" s="59" t="s">
        <v>22</v>
      </c>
      <c r="B14" s="59" t="s">
        <v>23</v>
      </c>
      <c r="C14" s="59" t="s">
        <v>20</v>
      </c>
      <c r="D14" s="63">
        <v>7.5</v>
      </c>
      <c r="E14" s="75">
        <v>1</v>
      </c>
      <c r="F14" s="76">
        <v>1</v>
      </c>
      <c r="G14" s="76">
        <v>1</v>
      </c>
      <c r="H14" s="76">
        <v>1</v>
      </c>
      <c r="I14" s="76">
        <v>1</v>
      </c>
      <c r="J14" s="77"/>
      <c r="K14" s="78"/>
      <c r="L14" s="59">
        <f t="shared" si="0"/>
        <v>37.5</v>
      </c>
      <c r="M14" s="79">
        <f>L14*52</f>
        <v>1950</v>
      </c>
      <c r="N14" s="80">
        <f t="shared" si="1"/>
        <v>1.056338028169014</v>
      </c>
      <c r="O14" s="81">
        <f>N14</f>
        <v>1.056338028169014</v>
      </c>
      <c r="P14" s="66"/>
      <c r="Q14" s="73"/>
      <c r="R14" s="83"/>
      <c r="T14" s="66"/>
    </row>
    <row r="15" spans="1:20" ht="15.6" x14ac:dyDescent="0.3">
      <c r="A15" s="59" t="s">
        <v>26</v>
      </c>
      <c r="B15" s="59" t="s">
        <v>24</v>
      </c>
      <c r="C15" s="59" t="s">
        <v>17</v>
      </c>
      <c r="D15" s="79">
        <v>7.5</v>
      </c>
      <c r="E15" s="75">
        <v>2</v>
      </c>
      <c r="F15" s="76">
        <v>2</v>
      </c>
      <c r="G15" s="76">
        <v>2</v>
      </c>
      <c r="H15" s="76">
        <v>2</v>
      </c>
      <c r="I15" s="76">
        <v>2</v>
      </c>
      <c r="J15" s="76"/>
      <c r="K15" s="78"/>
      <c r="L15" s="59">
        <f t="shared" si="0"/>
        <v>75</v>
      </c>
      <c r="M15" s="79">
        <f>L15*52</f>
        <v>3900</v>
      </c>
      <c r="N15" s="80">
        <f t="shared" si="1"/>
        <v>2.112676056338028</v>
      </c>
      <c r="O15" s="81">
        <f>N15</f>
        <v>2.112676056338028</v>
      </c>
      <c r="P15" s="66"/>
      <c r="Q15" s="84">
        <f>N15/5</f>
        <v>0.42253521126760563</v>
      </c>
      <c r="R15" s="83"/>
      <c r="T15" s="66"/>
    </row>
    <row r="16" spans="1:20" ht="15.6" x14ac:dyDescent="0.3">
      <c r="A16" s="59" t="s">
        <v>25</v>
      </c>
      <c r="B16" s="59" t="s">
        <v>24</v>
      </c>
      <c r="C16" s="59" t="s">
        <v>31</v>
      </c>
      <c r="D16" s="79">
        <f>10.5/5</f>
        <v>2.1</v>
      </c>
      <c r="E16" s="75">
        <v>2</v>
      </c>
      <c r="F16" s="76">
        <v>2</v>
      </c>
      <c r="G16" s="76">
        <v>2</v>
      </c>
      <c r="H16" s="76">
        <v>2</v>
      </c>
      <c r="I16" s="76">
        <v>2</v>
      </c>
      <c r="J16" s="77"/>
      <c r="K16" s="78"/>
      <c r="L16" s="59">
        <f t="shared" si="0"/>
        <v>21</v>
      </c>
      <c r="M16" s="79">
        <f t="shared" ref="M16:M20" si="2">L16*52</f>
        <v>1092</v>
      </c>
      <c r="N16" s="80">
        <f t="shared" si="1"/>
        <v>0.59154929577464788</v>
      </c>
      <c r="O16" s="81"/>
      <c r="P16" s="82">
        <f>N16</f>
        <v>0.59154929577464788</v>
      </c>
      <c r="Q16" s="73"/>
      <c r="R16" s="83"/>
      <c r="T16" s="66"/>
    </row>
    <row r="17" spans="1:20" ht="15.6" x14ac:dyDescent="0.3">
      <c r="A17" s="59" t="s">
        <v>25</v>
      </c>
      <c r="B17" s="59" t="s">
        <v>27</v>
      </c>
      <c r="C17" s="59" t="s">
        <v>28</v>
      </c>
      <c r="D17" s="79">
        <f>10/5</f>
        <v>2</v>
      </c>
      <c r="E17" s="75"/>
      <c r="F17" s="76"/>
      <c r="G17" s="76"/>
      <c r="H17" s="76"/>
      <c r="I17" s="76"/>
      <c r="J17" s="76">
        <v>2</v>
      </c>
      <c r="K17" s="78"/>
      <c r="L17" s="59">
        <f t="shared" si="0"/>
        <v>4</v>
      </c>
      <c r="M17" s="79">
        <f t="shared" si="2"/>
        <v>208</v>
      </c>
      <c r="N17" s="80">
        <f t="shared" si="1"/>
        <v>0.11267605633802817</v>
      </c>
      <c r="O17" s="81"/>
      <c r="P17" s="82">
        <f t="shared" ref="P17:P20" si="3">N17</f>
        <v>0.11267605633802817</v>
      </c>
      <c r="Q17" s="73"/>
      <c r="R17" s="83"/>
      <c r="T17" s="66"/>
    </row>
    <row r="18" spans="1:20" ht="15.6" x14ac:dyDescent="0.3">
      <c r="A18" s="59" t="s">
        <v>12</v>
      </c>
      <c r="B18" s="59" t="s">
        <v>27</v>
      </c>
      <c r="C18" s="59" t="s">
        <v>29</v>
      </c>
      <c r="D18" s="79">
        <v>7</v>
      </c>
      <c r="E18" s="75"/>
      <c r="F18" s="76"/>
      <c r="G18" s="76"/>
      <c r="H18" s="76"/>
      <c r="I18" s="76"/>
      <c r="J18" s="76">
        <v>2</v>
      </c>
      <c r="K18" s="78"/>
      <c r="L18" s="59">
        <f t="shared" si="0"/>
        <v>14</v>
      </c>
      <c r="M18" s="79">
        <f t="shared" si="2"/>
        <v>728</v>
      </c>
      <c r="N18" s="80">
        <f t="shared" si="1"/>
        <v>0.39436619718309857</v>
      </c>
      <c r="O18" s="81"/>
      <c r="P18" s="82">
        <f t="shared" si="3"/>
        <v>0.39436619718309857</v>
      </c>
      <c r="Q18" s="73"/>
      <c r="R18" s="83"/>
      <c r="T18" s="66"/>
    </row>
    <row r="19" spans="1:20" ht="15.6" x14ac:dyDescent="0.3">
      <c r="A19" s="59" t="s">
        <v>25</v>
      </c>
      <c r="B19" s="59" t="s">
        <v>27</v>
      </c>
      <c r="C19" s="59" t="s">
        <v>30</v>
      </c>
      <c r="D19" s="79">
        <f>7/5</f>
        <v>1.4</v>
      </c>
      <c r="E19" s="75"/>
      <c r="F19" s="76"/>
      <c r="G19" s="76"/>
      <c r="H19" s="76"/>
      <c r="I19" s="76"/>
      <c r="J19" s="76">
        <v>2</v>
      </c>
      <c r="K19" s="78"/>
      <c r="L19" s="59">
        <f t="shared" si="0"/>
        <v>2.8</v>
      </c>
      <c r="M19" s="79">
        <f t="shared" si="2"/>
        <v>145.6</v>
      </c>
      <c r="N19" s="80">
        <f t="shared" si="1"/>
        <v>7.887323943661971E-2</v>
      </c>
      <c r="O19" s="81"/>
      <c r="P19" s="82">
        <f t="shared" si="3"/>
        <v>7.887323943661971E-2</v>
      </c>
      <c r="Q19" s="73"/>
      <c r="R19" s="83"/>
      <c r="T19" s="66"/>
    </row>
    <row r="20" spans="1:20" ht="16.149999999999999" thickBot="1" x14ac:dyDescent="0.35">
      <c r="A20" s="59" t="s">
        <v>25</v>
      </c>
      <c r="B20" s="59" t="s">
        <v>32</v>
      </c>
      <c r="C20" s="59" t="s">
        <v>33</v>
      </c>
      <c r="D20" s="79">
        <f>24/5</f>
        <v>4.8</v>
      </c>
      <c r="E20" s="85"/>
      <c r="F20" s="86"/>
      <c r="G20" s="86"/>
      <c r="H20" s="86"/>
      <c r="I20" s="86"/>
      <c r="J20" s="86"/>
      <c r="K20" s="87">
        <v>2</v>
      </c>
      <c r="L20" s="59">
        <f t="shared" si="0"/>
        <v>9.6</v>
      </c>
      <c r="M20" s="79">
        <f t="shared" si="2"/>
        <v>499.2</v>
      </c>
      <c r="N20" s="80">
        <f t="shared" si="1"/>
        <v>0.27042253521126758</v>
      </c>
      <c r="O20" s="81"/>
      <c r="P20" s="82">
        <f t="shared" si="3"/>
        <v>0.27042253521126758</v>
      </c>
      <c r="Q20" s="73"/>
      <c r="R20" s="83"/>
      <c r="T20" s="66"/>
    </row>
    <row r="21" spans="1:20" ht="16.149999999999999" thickTop="1" x14ac:dyDescent="0.3">
      <c r="L21" s="88">
        <f>SUM(L13:L20)</f>
        <v>201.4</v>
      </c>
      <c r="M21" s="88">
        <f>SUM(M13:M20)</f>
        <v>10472.800000000001</v>
      </c>
      <c r="N21" s="88">
        <f>SUM(N13:N20)</f>
        <v>5.6732394366197179</v>
      </c>
      <c r="O21" s="89">
        <f>SUM(O13:O20)</f>
        <v>3.225352112676056</v>
      </c>
      <c r="P21" s="90">
        <f>SUM(P13:P20)</f>
        <v>2.4478873239436623</v>
      </c>
      <c r="Q21" s="84">
        <f>SUM(Q15:Q20)</f>
        <v>0.42253521126760563</v>
      </c>
      <c r="R21" s="91"/>
      <c r="T21" s="66"/>
    </row>
    <row r="22" spans="1:20" ht="15.6" x14ac:dyDescent="0.3">
      <c r="P22" s="92"/>
      <c r="Q22" s="92"/>
      <c r="R22" s="92"/>
      <c r="S22" s="66"/>
      <c r="T22" s="66"/>
    </row>
    <row r="23" spans="1:20" x14ac:dyDescent="0.25">
      <c r="A23" s="62" t="s">
        <v>37</v>
      </c>
    </row>
    <row r="24" spans="1:20" x14ac:dyDescent="0.25">
      <c r="A24" s="63" t="s">
        <v>7</v>
      </c>
      <c r="B24" s="93">
        <v>480000</v>
      </c>
      <c r="D24" s="64"/>
    </row>
    <row r="25" spans="1:20" ht="48" thickBot="1" x14ac:dyDescent="0.3">
      <c r="B25" s="94"/>
      <c r="C25" s="94" t="s">
        <v>64</v>
      </c>
      <c r="D25" s="95" t="s">
        <v>48</v>
      </c>
      <c r="E25" s="158" t="s">
        <v>63</v>
      </c>
      <c r="F25" s="96" t="s">
        <v>135</v>
      </c>
      <c r="G25" s="97"/>
      <c r="H25" s="98" t="s">
        <v>41</v>
      </c>
      <c r="I25" s="99"/>
      <c r="J25" s="100" t="s">
        <v>131</v>
      </c>
      <c r="K25" s="101" t="s">
        <v>147</v>
      </c>
      <c r="M25" s="102" t="s">
        <v>129</v>
      </c>
      <c r="N25" s="102"/>
    </row>
    <row r="26" spans="1:20" ht="16.5" thickTop="1" x14ac:dyDescent="0.25">
      <c r="A26" s="59" t="s">
        <v>34</v>
      </c>
      <c r="B26" s="92">
        <f>N21</f>
        <v>5.6732394366197179</v>
      </c>
      <c r="C26" s="64">
        <f>ROUND($B$24*N21,-3)</f>
        <v>2723000</v>
      </c>
      <c r="D26" s="103">
        <f>O21</f>
        <v>3.225352112676056</v>
      </c>
      <c r="E26" s="104">
        <f>ROUND($B$24*D26,-3)</f>
        <v>1548000</v>
      </c>
      <c r="F26" s="105">
        <f>Q15</f>
        <v>0.42253521126760563</v>
      </c>
      <c r="G26" s="106">
        <f>ROUND($B$24*Q15,-3)</f>
        <v>203000</v>
      </c>
      <c r="H26" s="80">
        <f>P21</f>
        <v>2.4478873239436623</v>
      </c>
      <c r="I26" s="64">
        <f>ROUND($B$24*H26,-3)</f>
        <v>1175000</v>
      </c>
      <c r="J26" s="107">
        <f>100000*2</f>
        <v>200000</v>
      </c>
      <c r="K26" s="108">
        <f>I26+J26</f>
        <v>1375000</v>
      </c>
      <c r="M26" s="109">
        <f>D26+H26</f>
        <v>5.6732394366197187</v>
      </c>
      <c r="N26" s="110">
        <f>E26+I26+J26</f>
        <v>2923000</v>
      </c>
    </row>
    <row r="27" spans="1:20" ht="15.6" x14ac:dyDescent="0.3">
      <c r="A27" s="59" t="s">
        <v>127</v>
      </c>
      <c r="B27" s="111">
        <v>1.0123</v>
      </c>
      <c r="C27" s="64">
        <f>ROUND((C26*$B$27)-C26,-3)</f>
        <v>33000</v>
      </c>
      <c r="D27" s="112"/>
      <c r="E27" s="104">
        <f>ROUND((E26*$B$27)-E26,-3)</f>
        <v>19000</v>
      </c>
      <c r="F27" s="113"/>
      <c r="G27" s="106">
        <f>ROUND((G26*$B$27)-G26,-3)</f>
        <v>2000</v>
      </c>
      <c r="I27" s="64">
        <f>ROUND((I26*$B$27)-I26,-3)</f>
        <v>14000</v>
      </c>
      <c r="J27" s="107">
        <f>ROUND((J26*$B$27)-J26,-3)</f>
        <v>2000</v>
      </c>
      <c r="K27" s="108">
        <f t="shared" ref="K27:K29" si="4">I27+J27</f>
        <v>16000</v>
      </c>
      <c r="M27" s="114"/>
      <c r="N27" s="110">
        <f>E27+I27+J27</f>
        <v>35000</v>
      </c>
    </row>
    <row r="28" spans="1:20" ht="15.6" x14ac:dyDescent="0.3">
      <c r="A28" s="59" t="s">
        <v>35</v>
      </c>
      <c r="B28" s="115">
        <v>0.19</v>
      </c>
      <c r="C28" s="64">
        <f>ROUND(C26*$B$28,-3)</f>
        <v>517000</v>
      </c>
      <c r="D28" s="112"/>
      <c r="E28" s="104">
        <f>ROUND(E26*$B$28,-3)</f>
        <v>294000</v>
      </c>
      <c r="F28" s="116"/>
      <c r="G28" s="106">
        <f>ROUND(G26*$B$28,-3)</f>
        <v>39000</v>
      </c>
      <c r="I28" s="64">
        <f>ROUND(I26*$B$28,-3)</f>
        <v>223000</v>
      </c>
      <c r="J28" s="107">
        <f>ROUND(J26*$B$28,-3)</f>
        <v>38000</v>
      </c>
      <c r="K28" s="108">
        <f t="shared" si="4"/>
        <v>261000</v>
      </c>
      <c r="M28" s="114"/>
      <c r="N28" s="110">
        <f>E28+I28+J28</f>
        <v>555000</v>
      </c>
    </row>
    <row r="29" spans="1:20" ht="15.6" x14ac:dyDescent="0.3">
      <c r="A29" s="59" t="s">
        <v>36</v>
      </c>
      <c r="B29" s="117">
        <v>0.14099999999999999</v>
      </c>
      <c r="C29" s="64">
        <f>ROUND((C26+C27+C28)*$B$29,-3)</f>
        <v>461000</v>
      </c>
      <c r="D29" s="112"/>
      <c r="E29" s="104">
        <f>ROUND((E26+E27+E28)*$B$29,-3)</f>
        <v>262000</v>
      </c>
      <c r="F29" s="118"/>
      <c r="G29" s="106">
        <f>ROUND((G26+G27+G28)*$B$29,-3)</f>
        <v>34000</v>
      </c>
      <c r="I29" s="64">
        <f>ROUND((I26+I27+I28)*$B$29,-3)</f>
        <v>199000</v>
      </c>
      <c r="J29" s="107">
        <f>ROUND((J26+J27+J28)*$B$29,-3)</f>
        <v>34000</v>
      </c>
      <c r="K29" s="108">
        <f t="shared" si="4"/>
        <v>233000</v>
      </c>
      <c r="M29" s="114"/>
      <c r="N29" s="110">
        <f>E29+I29+J29</f>
        <v>495000</v>
      </c>
    </row>
    <row r="30" spans="1:20" ht="15.6" x14ac:dyDescent="0.3">
      <c r="B30" s="64"/>
      <c r="C30" s="119">
        <f>SUM(C26:C29)</f>
        <v>3734000</v>
      </c>
      <c r="D30" s="112"/>
      <c r="E30" s="120">
        <f>SUM(E26:E29)</f>
        <v>2123000</v>
      </c>
      <c r="F30" s="121"/>
      <c r="G30" s="122">
        <f>SUM(G26:G29)</f>
        <v>278000</v>
      </c>
      <c r="I30" s="119">
        <f>SUM(I26:I29)</f>
        <v>1611000</v>
      </c>
      <c r="J30" s="123">
        <f>SUM(J26:J29)</f>
        <v>274000</v>
      </c>
      <c r="K30" s="124">
        <f>SUM(K26:K29)</f>
        <v>1885000</v>
      </c>
      <c r="M30" s="114"/>
      <c r="N30" s="110">
        <f>E30+I30+J30</f>
        <v>4008000</v>
      </c>
    </row>
    <row r="31" spans="1:20" x14ac:dyDescent="0.25">
      <c r="A31" s="125" t="s">
        <v>128</v>
      </c>
      <c r="B31" s="126">
        <f>ROUND(C30/B26,-3)</f>
        <v>658000</v>
      </c>
      <c r="C31" s="119"/>
      <c r="D31" s="112"/>
      <c r="E31" s="120"/>
      <c r="F31" s="121"/>
      <c r="G31" s="106"/>
      <c r="I31" s="119"/>
      <c r="J31" s="127"/>
      <c r="K31" s="128"/>
      <c r="M31" s="129"/>
      <c r="N31" s="129"/>
    </row>
    <row r="32" spans="1:20" ht="15.6" x14ac:dyDescent="0.3">
      <c r="A32" s="63" t="s">
        <v>8</v>
      </c>
      <c r="B32" s="119">
        <f>B31/C10</f>
        <v>356.44637053087757</v>
      </c>
      <c r="C32" s="119"/>
      <c r="D32" s="112"/>
      <c r="E32" s="120"/>
      <c r="F32" s="121"/>
      <c r="G32" s="106"/>
      <c r="I32" s="119"/>
      <c r="J32" s="127"/>
      <c r="K32" s="128"/>
      <c r="M32" s="129"/>
      <c r="N32" s="129"/>
    </row>
    <row r="33" spans="1:15" ht="15.6" x14ac:dyDescent="0.3">
      <c r="A33" s="59" t="s">
        <v>38</v>
      </c>
      <c r="B33" s="64" t="s">
        <v>136</v>
      </c>
      <c r="C33" s="64">
        <f>ROUND('Kv natt og lø sø'!U18,-3)</f>
        <v>312000</v>
      </c>
      <c r="D33" s="112"/>
      <c r="E33" s="104">
        <f>ROUND((4.5*2*5)*56*1.12*1.19*1.141,-3)</f>
        <v>4000</v>
      </c>
      <c r="F33" s="121"/>
      <c r="G33" s="130">
        <f>ROUND(E33*F26,-3)</f>
        <v>2000</v>
      </c>
      <c r="I33" s="64">
        <f>C33-E33</f>
        <v>308000</v>
      </c>
      <c r="J33" s="127"/>
      <c r="K33" s="108">
        <f t="shared" ref="K33:K35" si="5">I33+J33</f>
        <v>308000</v>
      </c>
      <c r="M33" s="129"/>
      <c r="N33" s="110">
        <f t="shared" ref="N33:N35" si="6">E33+I33+J33</f>
        <v>312000</v>
      </c>
    </row>
    <row r="34" spans="1:15" x14ac:dyDescent="0.25">
      <c r="A34" s="59" t="s">
        <v>39</v>
      </c>
      <c r="B34" s="64" t="s">
        <v>136</v>
      </c>
      <c r="C34" s="64">
        <f>ROUND('Kv natt og lø sø'!Y18,-3)</f>
        <v>111000</v>
      </c>
      <c r="D34" s="112"/>
      <c r="E34" s="104">
        <v>0</v>
      </c>
      <c r="F34" s="121"/>
      <c r="G34" s="131"/>
      <c r="I34" s="64">
        <f>C34</f>
        <v>111000</v>
      </c>
      <c r="J34" s="127"/>
      <c r="K34" s="108">
        <f t="shared" si="5"/>
        <v>111000</v>
      </c>
      <c r="M34" s="129"/>
      <c r="N34" s="110">
        <f t="shared" si="6"/>
        <v>111000</v>
      </c>
    </row>
    <row r="35" spans="1:15" ht="15.6" x14ac:dyDescent="0.3">
      <c r="A35" s="59" t="s">
        <v>40</v>
      </c>
      <c r="B35" s="64" t="s">
        <v>136</v>
      </c>
      <c r="C35" s="64">
        <f>Helligdag!K27</f>
        <v>60000</v>
      </c>
      <c r="D35" s="112"/>
      <c r="E35" s="104">
        <v>0</v>
      </c>
      <c r="F35" s="121"/>
      <c r="G35" s="131"/>
      <c r="I35" s="64">
        <f>C35</f>
        <v>60000</v>
      </c>
      <c r="J35" s="127"/>
      <c r="K35" s="108">
        <f t="shared" si="5"/>
        <v>60000</v>
      </c>
      <c r="M35" s="129"/>
      <c r="N35" s="110">
        <f t="shared" si="6"/>
        <v>60000</v>
      </c>
    </row>
    <row r="36" spans="1:15" ht="15.6" x14ac:dyDescent="0.3">
      <c r="B36" s="64"/>
      <c r="C36" s="119"/>
      <c r="D36" s="112"/>
      <c r="E36" s="120">
        <f>SUM(E30:E35)</f>
        <v>2127000</v>
      </c>
      <c r="F36" s="121"/>
      <c r="G36" s="122">
        <f>SUM(G30:G35)</f>
        <v>280000</v>
      </c>
      <c r="I36" s="119">
        <f>SUM(I30:I35)</f>
        <v>2090000</v>
      </c>
      <c r="J36" s="123">
        <f>SUM(J30:J35)</f>
        <v>274000</v>
      </c>
      <c r="K36" s="119">
        <f>SUM(K30:K35)</f>
        <v>2364000</v>
      </c>
      <c r="M36" s="129"/>
      <c r="N36" s="110">
        <f>E36+I36+J36</f>
        <v>4491000</v>
      </c>
      <c r="O36" s="110">
        <f>C37-N36</f>
        <v>0</v>
      </c>
    </row>
    <row r="37" spans="1:15" s="138" customFormat="1" x14ac:dyDescent="0.25">
      <c r="A37" s="132" t="s">
        <v>132</v>
      </c>
      <c r="B37" s="133"/>
      <c r="C37" s="134">
        <f>E36+I36+J36</f>
        <v>4491000</v>
      </c>
      <c r="D37" s="65"/>
      <c r="E37" s="135"/>
      <c r="F37" s="136"/>
      <c r="G37" s="137"/>
      <c r="I37" s="134"/>
      <c r="J37" s="135"/>
      <c r="K37" s="134"/>
      <c r="M37" s="139"/>
      <c r="N37" s="140"/>
      <c r="O37" s="140"/>
    </row>
    <row r="38" spans="1:15" ht="15.6" x14ac:dyDescent="0.3">
      <c r="B38" s="64"/>
      <c r="C38" s="119"/>
      <c r="E38" s="119"/>
      <c r="F38" s="64"/>
      <c r="H38" s="119"/>
      <c r="I38" s="119"/>
    </row>
    <row r="39" spans="1:15" ht="15.6" x14ac:dyDescent="0.3">
      <c r="A39" s="141" t="s">
        <v>9</v>
      </c>
      <c r="B39" s="64"/>
      <c r="C39" s="119"/>
      <c r="E39" s="119"/>
      <c r="F39" s="64"/>
      <c r="G39" s="64"/>
      <c r="H39" s="119"/>
      <c r="I39" s="119"/>
    </row>
    <row r="40" spans="1:15" ht="15.6" x14ac:dyDescent="0.3">
      <c r="A40" s="59" t="s">
        <v>65</v>
      </c>
      <c r="B40" s="64"/>
      <c r="C40" s="142">
        <v>40</v>
      </c>
      <c r="E40" s="119"/>
      <c r="F40" s="64"/>
      <c r="I40" s="119"/>
    </row>
    <row r="41" spans="1:15" ht="15.6" x14ac:dyDescent="0.3">
      <c r="A41" s="59" t="s">
        <v>66</v>
      </c>
      <c r="B41" s="64"/>
      <c r="C41" s="142">
        <v>5</v>
      </c>
      <c r="E41" s="119"/>
      <c r="F41" s="64"/>
      <c r="I41" s="119"/>
    </row>
    <row r="42" spans="1:15" ht="15.6" x14ac:dyDescent="0.3">
      <c r="A42" s="59" t="s">
        <v>77</v>
      </c>
      <c r="B42" s="143">
        <f>B32*2</f>
        <v>712.89274106175515</v>
      </c>
      <c r="C42" s="64">
        <f>B42</f>
        <v>712.89274106175515</v>
      </c>
      <c r="E42" s="119"/>
      <c r="F42" s="64"/>
      <c r="I42" s="119"/>
    </row>
    <row r="43" spans="1:15" x14ac:dyDescent="0.25">
      <c r="A43" s="59" t="s">
        <v>78</v>
      </c>
      <c r="B43" s="143">
        <v>2</v>
      </c>
      <c r="C43" s="64">
        <f>B43</f>
        <v>2</v>
      </c>
      <c r="E43" s="119"/>
      <c r="F43" s="64"/>
      <c r="I43" s="119"/>
    </row>
    <row r="44" spans="1:15" ht="15.6" x14ac:dyDescent="0.3">
      <c r="A44" s="63" t="s">
        <v>67</v>
      </c>
      <c r="B44" s="64"/>
      <c r="C44" s="119">
        <f>ROUND(C40*C41*C42*C43,-3)</f>
        <v>285000</v>
      </c>
      <c r="E44" s="119"/>
      <c r="F44" s="64"/>
    </row>
    <row r="45" spans="1:15" ht="15.6" x14ac:dyDescent="0.3">
      <c r="B45" s="64"/>
      <c r="C45" s="119"/>
      <c r="E45" s="119"/>
      <c r="F45" s="64"/>
      <c r="G45" s="119"/>
      <c r="H45" s="64"/>
      <c r="I45" s="119"/>
    </row>
    <row r="46" spans="1:15" ht="15.6" x14ac:dyDescent="0.3">
      <c r="B46" s="64"/>
      <c r="C46" s="119"/>
      <c r="E46" s="119"/>
      <c r="F46" s="64"/>
      <c r="G46" s="119"/>
      <c r="H46" s="64"/>
      <c r="I46" s="119"/>
    </row>
    <row r="47" spans="1:15" ht="15.6" x14ac:dyDescent="0.3">
      <c r="B47" s="64"/>
      <c r="C47" s="64"/>
      <c r="D47" s="64"/>
    </row>
    <row r="48" spans="1:15" ht="31.5" x14ac:dyDescent="0.25">
      <c r="A48" s="62" t="s">
        <v>50</v>
      </c>
      <c r="B48" s="119" t="s">
        <v>75</v>
      </c>
      <c r="C48" s="144" t="s">
        <v>76</v>
      </c>
      <c r="D48" s="63" t="s">
        <v>64</v>
      </c>
    </row>
    <row r="49" spans="1:6" ht="15.6" x14ac:dyDescent="0.3">
      <c r="A49" s="59" t="s">
        <v>51</v>
      </c>
      <c r="B49" s="64"/>
      <c r="C49" s="64">
        <v>75000</v>
      </c>
      <c r="D49" s="64"/>
    </row>
    <row r="50" spans="1:6" ht="15.6" x14ac:dyDescent="0.3">
      <c r="A50" s="59" t="s">
        <v>52</v>
      </c>
      <c r="B50" s="64"/>
      <c r="C50" s="64">
        <v>10000</v>
      </c>
      <c r="D50" s="64"/>
    </row>
    <row r="51" spans="1:6" x14ac:dyDescent="0.25">
      <c r="A51" s="59" t="s">
        <v>53</v>
      </c>
      <c r="B51" s="64"/>
      <c r="C51" s="64">
        <v>20000</v>
      </c>
      <c r="D51" s="64"/>
    </row>
    <row r="52" spans="1:6" ht="15.6" x14ac:dyDescent="0.3">
      <c r="A52" s="59" t="s">
        <v>138</v>
      </c>
      <c r="B52" s="64"/>
      <c r="C52" s="64">
        <v>60000</v>
      </c>
      <c r="D52" s="64"/>
    </row>
    <row r="53" spans="1:6" ht="15.6" x14ac:dyDescent="0.3">
      <c r="A53" s="59" t="s">
        <v>54</v>
      </c>
      <c r="B53" s="64"/>
      <c r="C53" s="64">
        <v>8000</v>
      </c>
      <c r="D53" s="64"/>
    </row>
    <row r="54" spans="1:6" ht="15.6" x14ac:dyDescent="0.3">
      <c r="A54" s="59" t="s">
        <v>58</v>
      </c>
      <c r="B54" s="64">
        <f>39000+20000+10000</f>
        <v>69000</v>
      </c>
      <c r="D54" s="64"/>
    </row>
    <row r="55" spans="1:6" x14ac:dyDescent="0.25">
      <c r="A55" s="59" t="s">
        <v>55</v>
      </c>
      <c r="B55" s="64"/>
      <c r="C55" s="64">
        <f>ROUND(70000*(1.2*0.9),-3)</f>
        <v>76000</v>
      </c>
      <c r="D55" s="64"/>
    </row>
    <row r="56" spans="1:6" ht="15.6" x14ac:dyDescent="0.3">
      <c r="A56" s="59" t="s">
        <v>56</v>
      </c>
      <c r="B56" s="64"/>
      <c r="C56" s="64">
        <f>ROUND(70000*(0.2*0.9),-3)</f>
        <v>13000</v>
      </c>
      <c r="D56" s="64"/>
    </row>
    <row r="57" spans="1:6" ht="15.6" x14ac:dyDescent="0.3">
      <c r="A57" s="59" t="s">
        <v>57</v>
      </c>
      <c r="B57" s="64"/>
      <c r="C57" s="64">
        <f>ROUND(70000*(0.2*0.9),-3)</f>
        <v>13000</v>
      </c>
      <c r="D57" s="64"/>
    </row>
    <row r="58" spans="1:6" ht="15.6" x14ac:dyDescent="0.3">
      <c r="A58" s="59" t="s">
        <v>59</v>
      </c>
      <c r="B58" s="64">
        <f>ROUND(35000+6500,-3)</f>
        <v>42000</v>
      </c>
      <c r="D58" s="64"/>
    </row>
    <row r="59" spans="1:6" ht="15.6" x14ac:dyDescent="0.3">
      <c r="A59" s="59" t="s">
        <v>61</v>
      </c>
      <c r="B59" s="64">
        <v>15000</v>
      </c>
      <c r="D59" s="64"/>
    </row>
    <row r="60" spans="1:6" ht="15.6" x14ac:dyDescent="0.3">
      <c r="A60" s="59" t="s">
        <v>60</v>
      </c>
      <c r="B60" s="64"/>
      <c r="C60" s="64">
        <v>15000</v>
      </c>
      <c r="D60" s="64"/>
      <c r="F60" s="64"/>
    </row>
    <row r="61" spans="1:6" x14ac:dyDescent="0.25">
      <c r="A61" s="160" t="s">
        <v>141</v>
      </c>
      <c r="B61" s="133"/>
      <c r="C61" s="146">
        <f>ROUND(0.1*D61,-3)</f>
        <v>507000</v>
      </c>
      <c r="D61" s="146">
        <f>(C37+C44+C49+C50+C51+C52+C53+C55+C56+C57+C60)</f>
        <v>5066000</v>
      </c>
      <c r="E61" s="145"/>
    </row>
    <row r="62" spans="1:6" ht="15.6" x14ac:dyDescent="0.3">
      <c r="B62" s="119">
        <f>SUM(B49:B61)</f>
        <v>126000</v>
      </c>
      <c r="C62" s="119">
        <f>SUM(C49:C61)</f>
        <v>797000</v>
      </c>
      <c r="D62" s="64"/>
    </row>
    <row r="63" spans="1:6" ht="15.6" x14ac:dyDescent="0.3">
      <c r="B63" s="119"/>
      <c r="C63" s="119"/>
      <c r="D63" s="64"/>
    </row>
    <row r="64" spans="1:6" ht="15.6" x14ac:dyDescent="0.3">
      <c r="A64" s="63" t="s">
        <v>64</v>
      </c>
      <c r="B64" s="119">
        <f>B62</f>
        <v>126000</v>
      </c>
      <c r="C64" s="119">
        <f>C37+C44+C62</f>
        <v>5573000</v>
      </c>
      <c r="D64" s="119">
        <f>B64+C64</f>
        <v>5699000</v>
      </c>
    </row>
    <row r="65" spans="1:13" ht="15.6" x14ac:dyDescent="0.3">
      <c r="B65" s="64"/>
      <c r="C65" s="64"/>
      <c r="D65" s="64"/>
    </row>
    <row r="66" spans="1:13" ht="47.25" x14ac:dyDescent="0.25">
      <c r="A66" s="147" t="s">
        <v>133</v>
      </c>
      <c r="B66" s="148" t="s">
        <v>140</v>
      </c>
      <c r="C66" s="149" t="s">
        <v>134</v>
      </c>
      <c r="D66" s="149" t="s">
        <v>130</v>
      </c>
      <c r="E66" s="148" t="s">
        <v>74</v>
      </c>
      <c r="F66" s="150" t="s">
        <v>62</v>
      </c>
      <c r="G66" s="152" t="s">
        <v>73</v>
      </c>
      <c r="H66" s="151" t="s">
        <v>41</v>
      </c>
      <c r="I66" s="151" t="s">
        <v>9</v>
      </c>
      <c r="J66" s="152" t="s">
        <v>137</v>
      </c>
      <c r="M66" s="63"/>
    </row>
    <row r="67" spans="1:13" x14ac:dyDescent="0.25">
      <c r="A67" s="59" t="s">
        <v>42</v>
      </c>
      <c r="B67" s="64">
        <v>6067</v>
      </c>
      <c r="C67" s="115">
        <f>B67/$B$75</f>
        <v>0.4356599167025707</v>
      </c>
      <c r="D67" s="115"/>
      <c r="E67" s="153">
        <f>ROUND($B$62/5,-3)</f>
        <v>25000</v>
      </c>
      <c r="F67" s="153">
        <f>ROUND($C$62*C67,-3)</f>
        <v>347000</v>
      </c>
      <c r="G67" s="64">
        <f>ROUND(E36-G71-G72,-3)</f>
        <v>1847000</v>
      </c>
      <c r="H67" s="153">
        <f>ROUND($K$36*C67,-3)</f>
        <v>1030000</v>
      </c>
      <c r="I67" s="153">
        <f>ROUND($C$44*C67,-3)</f>
        <v>124000</v>
      </c>
      <c r="J67" s="154">
        <f>SUM(E67:I67)</f>
        <v>3373000</v>
      </c>
      <c r="M67" s="154"/>
    </row>
    <row r="68" spans="1:13" x14ac:dyDescent="0.25">
      <c r="A68" s="59" t="s">
        <v>43</v>
      </c>
      <c r="B68" s="64">
        <v>2890</v>
      </c>
      <c r="C68" s="115">
        <f>B68/$B$75</f>
        <v>0.20752549188568145</v>
      </c>
      <c r="D68" s="115"/>
      <c r="E68" s="153">
        <f t="shared" ref="E68:E72" si="7">ROUND($B$62/5,-3)</f>
        <v>25000</v>
      </c>
      <c r="F68" s="153">
        <f>ROUND($C$62*C68,-3)</f>
        <v>165000</v>
      </c>
      <c r="H68" s="153">
        <f t="shared" ref="H68:H72" si="8">ROUND($K$36*C68,-3)</f>
        <v>491000</v>
      </c>
      <c r="I68" s="153">
        <f>ROUND($C$44*C68,-3)</f>
        <v>59000</v>
      </c>
      <c r="J68" s="154">
        <f>SUM(E68:I68)</f>
        <v>740000</v>
      </c>
      <c r="M68" s="154"/>
    </row>
    <row r="69" spans="1:13" ht="15.6" x14ac:dyDescent="0.3">
      <c r="A69" s="59" t="s">
        <v>44</v>
      </c>
      <c r="B69" s="64">
        <v>2606</v>
      </c>
      <c r="C69" s="115">
        <f>B69/$B$75</f>
        <v>0.18713198334051415</v>
      </c>
      <c r="D69" s="115"/>
      <c r="E69" s="153">
        <f t="shared" si="7"/>
        <v>25000</v>
      </c>
      <c r="F69" s="153">
        <f>ROUND($C$62*C69,-3)</f>
        <v>149000</v>
      </c>
      <c r="H69" s="153">
        <f t="shared" si="8"/>
        <v>442000</v>
      </c>
      <c r="I69" s="153">
        <f>ROUND($C$44*C69,-3)</f>
        <v>53000</v>
      </c>
      <c r="J69" s="154">
        <f>SUM(E69:I69)</f>
        <v>669000</v>
      </c>
      <c r="M69" s="154"/>
    </row>
    <row r="70" spans="1:13" ht="15.6" x14ac:dyDescent="0.3">
      <c r="B70" s="119">
        <f>SUM(B67:B69)</f>
        <v>11563</v>
      </c>
      <c r="C70" s="115"/>
      <c r="D70" s="115"/>
      <c r="E70" s="153"/>
      <c r="F70" s="153"/>
      <c r="H70" s="153"/>
      <c r="I70" s="153"/>
      <c r="J70" s="154"/>
    </row>
    <row r="71" spans="1:13" x14ac:dyDescent="0.25">
      <c r="A71" s="59" t="s">
        <v>45</v>
      </c>
      <c r="B71" s="64">
        <v>1075</v>
      </c>
      <c r="C71" s="115">
        <f>B71/$B$75</f>
        <v>7.7193738331179096E-2</v>
      </c>
      <c r="D71" s="115">
        <f>B71/$B$73</f>
        <v>0.45493017350825221</v>
      </c>
      <c r="E71" s="153">
        <f t="shared" si="7"/>
        <v>25000</v>
      </c>
      <c r="F71" s="153">
        <f>ROUND($C$62*C71,-3)</f>
        <v>62000</v>
      </c>
      <c r="G71" s="153">
        <f>ROUND($G$36*D71,-3)</f>
        <v>127000</v>
      </c>
      <c r="H71" s="153">
        <f t="shared" si="8"/>
        <v>182000</v>
      </c>
      <c r="I71" s="153">
        <f>ROUND($C$44*C71,-3)</f>
        <v>22000</v>
      </c>
      <c r="J71" s="154">
        <f>SUM(E71:I71)</f>
        <v>418000</v>
      </c>
      <c r="M71" s="154"/>
    </row>
    <row r="72" spans="1:13" ht="15.6" x14ac:dyDescent="0.3">
      <c r="A72" s="59" t="s">
        <v>46</v>
      </c>
      <c r="B72" s="64">
        <v>1288</v>
      </c>
      <c r="C72" s="115">
        <f>B72/$B$75</f>
        <v>9.2488869740054575E-2</v>
      </c>
      <c r="D72" s="115">
        <f>B72/$B$73</f>
        <v>0.54506982649174773</v>
      </c>
      <c r="E72" s="153">
        <f t="shared" si="7"/>
        <v>25000</v>
      </c>
      <c r="F72" s="153">
        <f>ROUND($C$62*C72,-3)</f>
        <v>74000</v>
      </c>
      <c r="G72" s="153">
        <f>ROUND($G$36*D72,-3)</f>
        <v>153000</v>
      </c>
      <c r="H72" s="153">
        <f t="shared" si="8"/>
        <v>219000</v>
      </c>
      <c r="I72" s="153">
        <f>ROUND($C$44*C72,-3)</f>
        <v>26000</v>
      </c>
      <c r="J72" s="154">
        <f>SUM(E72:I72)</f>
        <v>497000</v>
      </c>
      <c r="M72" s="154"/>
    </row>
    <row r="73" spans="1:13" x14ac:dyDescent="0.25">
      <c r="A73" s="63" t="s">
        <v>142</v>
      </c>
      <c r="B73" s="119">
        <f>SUM(B71:B72)</f>
        <v>2363</v>
      </c>
      <c r="C73" s="115"/>
      <c r="D73" s="156">
        <f>SUM(D71:D72)</f>
        <v>1</v>
      </c>
      <c r="E73" s="119">
        <f t="shared" ref="E73:J73" si="9">SUM(E67:E72)</f>
        <v>125000</v>
      </c>
      <c r="F73" s="155">
        <f t="shared" si="9"/>
        <v>797000</v>
      </c>
      <c r="G73" s="119">
        <f t="shared" si="9"/>
        <v>2127000</v>
      </c>
      <c r="H73" s="119">
        <f t="shared" si="9"/>
        <v>2364000</v>
      </c>
      <c r="I73" s="119">
        <f t="shared" si="9"/>
        <v>284000</v>
      </c>
      <c r="J73" s="155">
        <f t="shared" si="9"/>
        <v>5697000</v>
      </c>
      <c r="K73" s="110">
        <f>N36+C44+B62+C62</f>
        <v>5699000</v>
      </c>
      <c r="M73" s="154"/>
    </row>
    <row r="74" spans="1:13" x14ac:dyDescent="0.25">
      <c r="B74" s="119"/>
      <c r="C74" s="115"/>
      <c r="E74" s="119"/>
      <c r="F74" s="155"/>
      <c r="G74" s="119"/>
      <c r="I74" s="119"/>
      <c r="J74" s="119"/>
      <c r="K74" s="155"/>
    </row>
    <row r="75" spans="1:13" x14ac:dyDescent="0.25">
      <c r="A75" s="59" t="s">
        <v>139</v>
      </c>
      <c r="B75" s="119">
        <f>B70+B73</f>
        <v>13926</v>
      </c>
      <c r="C75" s="156">
        <f>SUM(C67:C72)</f>
        <v>1</v>
      </c>
      <c r="J75" s="157"/>
    </row>
    <row r="76" spans="1:13" x14ac:dyDescent="0.25">
      <c r="K76" s="138"/>
      <c r="L76" s="138"/>
      <c r="M76" s="138"/>
    </row>
    <row r="77" spans="1:13" x14ac:dyDescent="0.25">
      <c r="A77" s="59" t="s">
        <v>47</v>
      </c>
      <c r="B77" s="64">
        <v>1969</v>
      </c>
      <c r="C77" s="115"/>
      <c r="D77" s="115"/>
      <c r="E77" s="153"/>
      <c r="F77" s="153"/>
      <c r="G77" s="153"/>
      <c r="H77" s="153"/>
      <c r="I77" s="153"/>
      <c r="J77" s="154"/>
      <c r="M77" s="154"/>
    </row>
    <row r="78" spans="1:13" x14ac:dyDescent="0.25">
      <c r="A78" s="59" t="s">
        <v>143</v>
      </c>
      <c r="B78" s="64">
        <v>2819</v>
      </c>
    </row>
    <row r="79" spans="1:13" x14ac:dyDescent="0.25">
      <c r="A79" s="63" t="s">
        <v>144</v>
      </c>
    </row>
  </sheetData>
  <mergeCells count="1">
    <mergeCell ref="O11:P11"/>
  </mergeCells>
  <pageMargins left="0.62992125984251968" right="0.23622047244094491" top="0.35433070866141736" bottom="0.15748031496062992" header="0.11811023622047245" footer="0.11811023622047245"/>
  <pageSetup paperSize="8" scale="60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8"/>
  <sheetViews>
    <sheetView topLeftCell="D1" workbookViewId="0">
      <selection activeCell="R5" sqref="R5"/>
    </sheetView>
  </sheetViews>
  <sheetFormatPr baseColWidth="10" defaultRowHeight="15" x14ac:dyDescent="0.25"/>
  <sheetData>
    <row r="1" spans="1:26" ht="18.75" x14ac:dyDescent="0.3">
      <c r="A1" s="2" t="s">
        <v>0</v>
      </c>
    </row>
    <row r="2" spans="1:26" ht="16.5" x14ac:dyDescent="0.3">
      <c r="A2" s="1" t="s">
        <v>1</v>
      </c>
    </row>
    <row r="3" spans="1:26" ht="14.45" x14ac:dyDescent="0.3">
      <c r="A3" s="1" t="s">
        <v>2</v>
      </c>
    </row>
    <row r="4" spans="1:26" ht="14.45" x14ac:dyDescent="0.3">
      <c r="A4" s="11" t="s">
        <v>68</v>
      </c>
    </row>
    <row r="5" spans="1:26" ht="14.45" x14ac:dyDescent="0.3">
      <c r="A5" s="11"/>
    </row>
    <row r="6" spans="1:26" ht="22.15" x14ac:dyDescent="0.45">
      <c r="A6" s="12" t="s">
        <v>110</v>
      </c>
    </row>
    <row r="8" spans="1:26" ht="29.45" thickBot="1" x14ac:dyDescent="0.35">
      <c r="E8" s="13"/>
      <c r="Q8" s="14" t="s">
        <v>79</v>
      </c>
      <c r="R8" s="15"/>
      <c r="S8" s="15"/>
      <c r="T8" s="16"/>
      <c r="U8" s="16"/>
      <c r="V8" s="17">
        <v>6</v>
      </c>
      <c r="W8" s="15"/>
      <c r="X8" s="15"/>
    </row>
    <row r="9" spans="1:26" s="3" customFormat="1" ht="18" thickTop="1" thickBot="1" x14ac:dyDescent="0.35">
      <c r="A9" s="18" t="s">
        <v>80</v>
      </c>
      <c r="B9" s="18"/>
      <c r="C9" s="18"/>
      <c r="D9" s="18"/>
      <c r="E9" s="19"/>
      <c r="F9" s="18"/>
      <c r="G9" s="18"/>
      <c r="H9" s="18"/>
      <c r="I9" s="18"/>
      <c r="J9" s="18"/>
      <c r="K9" s="18"/>
      <c r="L9" s="18"/>
      <c r="M9" s="18"/>
      <c r="N9" s="163"/>
      <c r="O9" s="163"/>
      <c r="P9" s="20"/>
      <c r="Q9" s="164" t="s">
        <v>81</v>
      </c>
      <c r="R9" s="165"/>
      <c r="S9" s="165"/>
      <c r="T9" s="165"/>
      <c r="U9" s="166"/>
      <c r="V9" s="167" t="s">
        <v>82</v>
      </c>
      <c r="W9" s="168"/>
      <c r="X9" s="168"/>
      <c r="Y9" s="21">
        <v>50</v>
      </c>
    </row>
    <row r="10" spans="1:26" s="3" customFormat="1" ht="33.75" thickTop="1" x14ac:dyDescent="0.3">
      <c r="A10" s="18" t="s">
        <v>83</v>
      </c>
      <c r="B10" s="18" t="s">
        <v>84</v>
      </c>
      <c r="C10" s="22" t="s">
        <v>85</v>
      </c>
      <c r="D10" s="18" t="s">
        <v>86</v>
      </c>
      <c r="E10" s="19" t="s">
        <v>87</v>
      </c>
      <c r="F10" s="18" t="s">
        <v>88</v>
      </c>
      <c r="G10" s="18" t="s">
        <v>89</v>
      </c>
      <c r="H10" s="18" t="s">
        <v>90</v>
      </c>
      <c r="I10" s="18" t="s">
        <v>91</v>
      </c>
      <c r="J10" s="18" t="s">
        <v>92</v>
      </c>
      <c r="K10" s="18" t="s">
        <v>93</v>
      </c>
      <c r="L10" s="18" t="s">
        <v>94</v>
      </c>
      <c r="M10" s="18" t="s">
        <v>95</v>
      </c>
      <c r="N10" s="22" t="s">
        <v>96</v>
      </c>
      <c r="O10" s="22" t="s">
        <v>97</v>
      </c>
      <c r="P10" s="20"/>
      <c r="Q10" s="23" t="s">
        <v>98</v>
      </c>
      <c r="R10" s="24" t="s">
        <v>91</v>
      </c>
      <c r="S10" s="24" t="s">
        <v>99</v>
      </c>
      <c r="T10" s="25" t="s">
        <v>100</v>
      </c>
      <c r="U10" s="26" t="s">
        <v>101</v>
      </c>
      <c r="V10" s="23" t="s">
        <v>98</v>
      </c>
      <c r="W10" s="24" t="s">
        <v>91</v>
      </c>
      <c r="X10" s="24" t="s">
        <v>99</v>
      </c>
      <c r="Y10" s="27"/>
    </row>
    <row r="11" spans="1:26" ht="15.75" x14ac:dyDescent="0.3">
      <c r="C11" s="28" t="s">
        <v>102</v>
      </c>
      <c r="D11" s="28" t="s">
        <v>103</v>
      </c>
      <c r="E11" s="28">
        <v>1</v>
      </c>
      <c r="F11" s="28" t="s">
        <v>104</v>
      </c>
      <c r="G11" s="28" t="s">
        <v>105</v>
      </c>
      <c r="H11" s="28" t="s">
        <v>106</v>
      </c>
      <c r="I11" s="28">
        <v>0</v>
      </c>
      <c r="J11" s="28" t="s">
        <v>103</v>
      </c>
      <c r="K11" s="28" t="s">
        <v>107</v>
      </c>
      <c r="L11" s="28" t="s">
        <v>108</v>
      </c>
      <c r="M11" s="28" t="s">
        <v>109</v>
      </c>
      <c r="N11" s="28" t="s">
        <v>103</v>
      </c>
      <c r="Q11" s="29">
        <v>76.400000000000006</v>
      </c>
      <c r="R11" s="24">
        <v>69.17</v>
      </c>
      <c r="S11" s="24">
        <f t="shared" ref="S11:S16" si="0">Q11-R11</f>
        <v>7.230000000000004</v>
      </c>
      <c r="T11" s="30">
        <v>56</v>
      </c>
      <c r="U11" s="31">
        <f t="shared" ref="U11:U16" si="1">(Q11*T11)*12*1.0123</f>
        <v>51972.291840000005</v>
      </c>
      <c r="V11" s="29">
        <v>30.4</v>
      </c>
      <c r="W11" s="24">
        <v>22.83</v>
      </c>
      <c r="X11" s="24">
        <f t="shared" ref="X11:X16" si="2">V11-W11</f>
        <v>7.57</v>
      </c>
      <c r="Y11" s="31">
        <f t="shared" ref="Y11:Y16" si="3">(V11*$Y$9)*12*1.0123</f>
        <v>18464.351999999999</v>
      </c>
      <c r="Z11" s="29">
        <v>12.8</v>
      </c>
    </row>
    <row r="12" spans="1:26" ht="15.75" x14ac:dyDescent="0.3">
      <c r="C12" s="28" t="s">
        <v>102</v>
      </c>
      <c r="D12" s="28" t="s">
        <v>103</v>
      </c>
      <c r="E12" s="28">
        <v>2</v>
      </c>
      <c r="F12" s="28" t="s">
        <v>104</v>
      </c>
      <c r="G12" s="28" t="s">
        <v>105</v>
      </c>
      <c r="H12" s="28" t="s">
        <v>106</v>
      </c>
      <c r="I12" s="28">
        <v>0</v>
      </c>
      <c r="J12" s="28" t="s">
        <v>103</v>
      </c>
      <c r="K12" s="28" t="s">
        <v>107</v>
      </c>
      <c r="L12" s="28" t="s">
        <v>108</v>
      </c>
      <c r="M12" s="28" t="s">
        <v>109</v>
      </c>
      <c r="N12" s="28" t="s">
        <v>103</v>
      </c>
      <c r="Q12" s="29">
        <v>76.400000000000006</v>
      </c>
      <c r="R12" s="24">
        <v>69.17</v>
      </c>
      <c r="S12" s="24">
        <f t="shared" si="0"/>
        <v>7.230000000000004</v>
      </c>
      <c r="T12" s="30">
        <v>56</v>
      </c>
      <c r="U12" s="31">
        <f t="shared" si="1"/>
        <v>51972.291840000005</v>
      </c>
      <c r="V12" s="29">
        <v>30.4</v>
      </c>
      <c r="W12" s="24">
        <v>22.83</v>
      </c>
      <c r="X12" s="24">
        <f t="shared" si="2"/>
        <v>7.57</v>
      </c>
      <c r="Y12" s="31">
        <f t="shared" si="3"/>
        <v>18464.351999999999</v>
      </c>
      <c r="Z12" s="29">
        <v>20.8</v>
      </c>
    </row>
    <row r="13" spans="1:26" ht="15.75" x14ac:dyDescent="0.3">
      <c r="C13" s="28" t="s">
        <v>102</v>
      </c>
      <c r="D13" s="28" t="s">
        <v>103</v>
      </c>
      <c r="E13" s="28">
        <v>3</v>
      </c>
      <c r="F13" s="28" t="s">
        <v>104</v>
      </c>
      <c r="G13" s="28" t="s">
        <v>105</v>
      </c>
      <c r="H13" s="28" t="s">
        <v>106</v>
      </c>
      <c r="I13" s="28">
        <v>0</v>
      </c>
      <c r="J13" s="28" t="s">
        <v>103</v>
      </c>
      <c r="K13" s="28" t="s">
        <v>107</v>
      </c>
      <c r="L13" s="28" t="s">
        <v>108</v>
      </c>
      <c r="M13" s="28" t="s">
        <v>109</v>
      </c>
      <c r="N13" s="28" t="s">
        <v>103</v>
      </c>
      <c r="Q13" s="29">
        <v>76.400000000000006</v>
      </c>
      <c r="R13" s="24">
        <v>69.17</v>
      </c>
      <c r="S13" s="24">
        <f t="shared" si="0"/>
        <v>7.230000000000004</v>
      </c>
      <c r="T13" s="30">
        <v>56</v>
      </c>
      <c r="U13" s="31">
        <f t="shared" si="1"/>
        <v>51972.291840000005</v>
      </c>
      <c r="V13" s="29">
        <v>30.4</v>
      </c>
      <c r="W13" s="24">
        <v>22.83</v>
      </c>
      <c r="X13" s="24">
        <f t="shared" si="2"/>
        <v>7.57</v>
      </c>
      <c r="Y13" s="31">
        <f t="shared" si="3"/>
        <v>18464.351999999999</v>
      </c>
      <c r="Z13" s="29">
        <v>8</v>
      </c>
    </row>
    <row r="14" spans="1:26" ht="15.75" x14ac:dyDescent="0.3">
      <c r="C14" s="28" t="s">
        <v>102</v>
      </c>
      <c r="D14" s="28" t="s">
        <v>103</v>
      </c>
      <c r="E14" s="28">
        <v>4</v>
      </c>
      <c r="F14" s="28" t="s">
        <v>104</v>
      </c>
      <c r="G14" s="28" t="s">
        <v>105</v>
      </c>
      <c r="H14" s="28" t="s">
        <v>106</v>
      </c>
      <c r="I14" s="28">
        <v>0</v>
      </c>
      <c r="J14" s="28" t="s">
        <v>103</v>
      </c>
      <c r="K14" s="28" t="s">
        <v>107</v>
      </c>
      <c r="L14" s="28" t="s">
        <v>108</v>
      </c>
      <c r="M14" s="28" t="s">
        <v>109</v>
      </c>
      <c r="N14" s="28" t="s">
        <v>103</v>
      </c>
      <c r="Q14" s="29">
        <v>76.400000000000006</v>
      </c>
      <c r="R14" s="24">
        <v>69.17</v>
      </c>
      <c r="S14" s="24">
        <f t="shared" si="0"/>
        <v>7.230000000000004</v>
      </c>
      <c r="T14" s="30">
        <v>56</v>
      </c>
      <c r="U14" s="31">
        <f t="shared" si="1"/>
        <v>51972.291840000005</v>
      </c>
      <c r="V14" s="29">
        <v>30.4</v>
      </c>
      <c r="W14" s="24">
        <v>22.83</v>
      </c>
      <c r="X14" s="24">
        <f t="shared" si="2"/>
        <v>7.57</v>
      </c>
      <c r="Y14" s="31">
        <f t="shared" si="3"/>
        <v>18464.351999999999</v>
      </c>
      <c r="Z14" s="29">
        <v>7.5</v>
      </c>
    </row>
    <row r="15" spans="1:26" ht="15.75" x14ac:dyDescent="0.3">
      <c r="C15" s="28" t="s">
        <v>102</v>
      </c>
      <c r="D15" s="28" t="s">
        <v>103</v>
      </c>
      <c r="E15" s="28">
        <v>5</v>
      </c>
      <c r="F15" s="28" t="s">
        <v>104</v>
      </c>
      <c r="G15" s="28" t="s">
        <v>105</v>
      </c>
      <c r="H15" s="28" t="s">
        <v>106</v>
      </c>
      <c r="I15" s="28">
        <v>0</v>
      </c>
      <c r="J15" s="28" t="s">
        <v>103</v>
      </c>
      <c r="K15" s="28" t="s">
        <v>107</v>
      </c>
      <c r="L15" s="28" t="s">
        <v>108</v>
      </c>
      <c r="M15" s="28" t="s">
        <v>109</v>
      </c>
      <c r="N15" s="28" t="s">
        <v>103</v>
      </c>
      <c r="Q15" s="29">
        <v>76.400000000000006</v>
      </c>
      <c r="R15" s="24">
        <v>69.17</v>
      </c>
      <c r="S15" s="24">
        <f t="shared" si="0"/>
        <v>7.230000000000004</v>
      </c>
      <c r="T15" s="30">
        <v>56</v>
      </c>
      <c r="U15" s="31">
        <f t="shared" si="1"/>
        <v>51972.291840000005</v>
      </c>
      <c r="V15" s="29">
        <v>30.4</v>
      </c>
      <c r="W15" s="24">
        <v>22.83</v>
      </c>
      <c r="X15" s="24">
        <f t="shared" si="2"/>
        <v>7.57</v>
      </c>
      <c r="Y15" s="31">
        <f t="shared" si="3"/>
        <v>18464.351999999999</v>
      </c>
      <c r="Z15" s="29">
        <v>21.9</v>
      </c>
    </row>
    <row r="16" spans="1:26" ht="15.75" x14ac:dyDescent="0.3">
      <c r="C16" s="28" t="s">
        <v>102</v>
      </c>
      <c r="D16" s="28" t="s">
        <v>103</v>
      </c>
      <c r="E16" s="28">
        <v>6</v>
      </c>
      <c r="F16" s="28" t="s">
        <v>104</v>
      </c>
      <c r="G16" s="28" t="s">
        <v>105</v>
      </c>
      <c r="H16" s="28" t="s">
        <v>106</v>
      </c>
      <c r="I16" s="28">
        <v>0</v>
      </c>
      <c r="J16" s="28" t="s">
        <v>103</v>
      </c>
      <c r="K16" s="28" t="s">
        <v>107</v>
      </c>
      <c r="L16" s="28" t="s">
        <v>108</v>
      </c>
      <c r="M16" s="28" t="s">
        <v>109</v>
      </c>
      <c r="N16" s="28" t="s">
        <v>103</v>
      </c>
      <c r="Q16" s="29">
        <v>76.400000000000006</v>
      </c>
      <c r="R16" s="24">
        <v>69.17</v>
      </c>
      <c r="S16" s="24">
        <f t="shared" si="0"/>
        <v>7.230000000000004</v>
      </c>
      <c r="T16" s="30">
        <v>56</v>
      </c>
      <c r="U16" s="31">
        <f t="shared" si="1"/>
        <v>51972.291840000005</v>
      </c>
      <c r="V16" s="29">
        <v>30.4</v>
      </c>
      <c r="W16" s="24">
        <v>22.83</v>
      </c>
      <c r="X16" s="24">
        <f t="shared" si="2"/>
        <v>7.57</v>
      </c>
      <c r="Y16" s="31">
        <f t="shared" si="3"/>
        <v>18464.351999999999</v>
      </c>
      <c r="Z16" s="29">
        <v>14.4</v>
      </c>
    </row>
    <row r="17" spans="5:25" ht="14.45" x14ac:dyDescent="0.3">
      <c r="E17" s="13"/>
      <c r="U17" s="32"/>
      <c r="Y17" s="32"/>
    </row>
    <row r="18" spans="5:25" ht="14.45" x14ac:dyDescent="0.3">
      <c r="E18" s="13"/>
      <c r="Q18">
        <f>SUM(Q11:Q17)</f>
        <v>458.4</v>
      </c>
      <c r="R18">
        <f t="shared" ref="R18:U18" si="4">SUM(R11:R17)</f>
        <v>415.02000000000004</v>
      </c>
      <c r="S18">
        <f t="shared" si="4"/>
        <v>43.380000000000024</v>
      </c>
      <c r="T18">
        <f t="shared" si="4"/>
        <v>336</v>
      </c>
      <c r="U18" s="33">
        <f t="shared" si="4"/>
        <v>311833.75104000006</v>
      </c>
      <c r="V18">
        <f>SUM(V11:V16)</f>
        <v>182.4</v>
      </c>
      <c r="W18">
        <f t="shared" ref="W18:Y18" si="5">SUM(W11:W16)</f>
        <v>136.97999999999999</v>
      </c>
      <c r="X18">
        <f t="shared" si="5"/>
        <v>45.42</v>
      </c>
      <c r="Y18" s="33">
        <f t="shared" si="5"/>
        <v>110786.11199999999</v>
      </c>
    </row>
  </sheetData>
  <mergeCells count="3">
    <mergeCell ref="N9:O9"/>
    <mergeCell ref="Q9:U9"/>
    <mergeCell ref="V9:X9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8"/>
  <sheetViews>
    <sheetView workbookViewId="0">
      <selection activeCell="L36" sqref="L36"/>
    </sheetView>
  </sheetViews>
  <sheetFormatPr baseColWidth="10" defaultColWidth="11.42578125" defaultRowHeight="18" x14ac:dyDescent="0.35"/>
  <cols>
    <col min="1" max="1" width="11.42578125" style="4"/>
    <col min="2" max="2" width="25.7109375" style="4" bestFit="1" customWidth="1"/>
    <col min="3" max="4" width="11.42578125" style="4"/>
    <col min="5" max="5" width="17.85546875" style="4" bestFit="1" customWidth="1"/>
    <col min="6" max="8" width="11.42578125" style="4"/>
    <col min="9" max="9" width="9.7109375" style="4" bestFit="1" customWidth="1"/>
    <col min="10" max="16384" width="11.42578125" style="4"/>
  </cols>
  <sheetData>
    <row r="1" spans="1:14" s="34" customFormat="1" x14ac:dyDescent="0.35">
      <c r="A1" s="4" t="s">
        <v>0</v>
      </c>
      <c r="G1" s="35"/>
    </row>
    <row r="2" spans="1:14" s="34" customFormat="1" x14ac:dyDescent="0.35">
      <c r="A2" s="4" t="s">
        <v>1</v>
      </c>
      <c r="G2" s="35"/>
    </row>
    <row r="3" spans="1:14" s="34" customFormat="1" ht="16.149999999999999" x14ac:dyDescent="0.35">
      <c r="A3" s="4" t="s">
        <v>2</v>
      </c>
      <c r="G3" s="35"/>
    </row>
    <row r="4" spans="1:14" s="34" customFormat="1" ht="16.149999999999999" x14ac:dyDescent="0.35">
      <c r="A4" s="4" t="s">
        <v>68</v>
      </c>
      <c r="G4" s="35"/>
    </row>
    <row r="5" spans="1:14" s="34" customFormat="1" ht="16.149999999999999" x14ac:dyDescent="0.35">
      <c r="A5" s="4"/>
      <c r="G5" s="35"/>
    </row>
    <row r="6" spans="1:14" s="34" customFormat="1" x14ac:dyDescent="0.35">
      <c r="A6" s="55" t="s">
        <v>126</v>
      </c>
      <c r="G6" s="35"/>
    </row>
    <row r="7" spans="1:14" s="34" customFormat="1" x14ac:dyDescent="0.35">
      <c r="A7" s="34" t="s">
        <v>111</v>
      </c>
      <c r="G7" s="35"/>
    </row>
    <row r="8" spans="1:14" s="34" customFormat="1" ht="16.149999999999999" x14ac:dyDescent="0.35">
      <c r="G8" s="35"/>
    </row>
    <row r="9" spans="1:14" s="34" customFormat="1" ht="16.149999999999999" x14ac:dyDescent="0.35">
      <c r="A9" s="34" t="s">
        <v>112</v>
      </c>
      <c r="B9" s="34" t="s">
        <v>113</v>
      </c>
      <c r="C9" s="5"/>
      <c r="D9" s="5"/>
      <c r="E9" s="5"/>
      <c r="G9" s="35"/>
    </row>
    <row r="10" spans="1:14" s="34" customFormat="1" x14ac:dyDescent="0.35">
      <c r="A10" s="34" t="s">
        <v>7</v>
      </c>
      <c r="B10" s="36">
        <v>480000</v>
      </c>
      <c r="C10" s="5"/>
      <c r="D10" s="5"/>
      <c r="E10" s="5"/>
      <c r="G10" s="35"/>
    </row>
    <row r="11" spans="1:14" s="34" customFormat="1" ht="16.149999999999999" x14ac:dyDescent="0.35">
      <c r="A11" s="34" t="s">
        <v>8</v>
      </c>
      <c r="B11" s="10"/>
      <c r="C11" s="37">
        <f>B10/1846</f>
        <v>260.02166847237271</v>
      </c>
      <c r="D11" s="5"/>
      <c r="E11" s="5" t="s">
        <v>114</v>
      </c>
      <c r="F11" s="34">
        <v>14</v>
      </c>
      <c r="G11" s="35"/>
      <c r="H11" s="5" t="s">
        <v>8</v>
      </c>
      <c r="I11" s="8"/>
      <c r="N11" s="35"/>
    </row>
    <row r="12" spans="1:14" s="34" customFormat="1" ht="16.149999999999999" x14ac:dyDescent="0.35">
      <c r="A12" s="34" t="s">
        <v>115</v>
      </c>
      <c r="B12" s="38">
        <v>0.12</v>
      </c>
      <c r="C12" s="37">
        <f>C11*B12</f>
        <v>31.202600216684726</v>
      </c>
      <c r="D12" s="39">
        <f>SUM(C11:C12)</f>
        <v>291.22426868905745</v>
      </c>
      <c r="E12" s="5" t="s">
        <v>116</v>
      </c>
      <c r="F12" s="34">
        <v>17</v>
      </c>
      <c r="G12" s="35"/>
    </row>
    <row r="13" spans="1:14" s="34" customFormat="1" ht="16.149999999999999" x14ac:dyDescent="0.35">
      <c r="A13" s="56" t="s">
        <v>35</v>
      </c>
      <c r="B13" s="57">
        <v>0</v>
      </c>
      <c r="C13" s="37"/>
      <c r="D13" s="5"/>
      <c r="E13" s="5" t="s">
        <v>117</v>
      </c>
      <c r="F13" s="34">
        <v>12</v>
      </c>
      <c r="G13" s="35"/>
    </row>
    <row r="14" spans="1:14" s="34" customFormat="1" ht="16.149999999999999" x14ac:dyDescent="0.35">
      <c r="A14" s="34" t="s">
        <v>118</v>
      </c>
      <c r="B14" s="40">
        <v>0.14099999999999999</v>
      </c>
      <c r="C14" s="37">
        <f>(C11+C12)*B14</f>
        <v>41.0626218851571</v>
      </c>
      <c r="D14" s="5"/>
      <c r="E14" s="5"/>
      <c r="G14" s="35"/>
    </row>
    <row r="15" spans="1:14" s="34" customFormat="1" ht="16.149999999999999" x14ac:dyDescent="0.35">
      <c r="B15" s="40"/>
      <c r="C15" s="39">
        <f>SUM(C11:C14)</f>
        <v>332.28689057421457</v>
      </c>
      <c r="D15" s="5"/>
      <c r="E15" s="5"/>
      <c r="G15" s="35"/>
    </row>
    <row r="16" spans="1:14" s="7" customFormat="1" ht="16.149999999999999" x14ac:dyDescent="0.35">
      <c r="A16" s="6"/>
      <c r="B16" s="41"/>
      <c r="C16" s="6"/>
      <c r="D16" s="6"/>
      <c r="E16" s="6"/>
      <c r="G16" s="42"/>
    </row>
    <row r="17" spans="1:12" s="7" customFormat="1" ht="16.149999999999999" x14ac:dyDescent="0.35">
      <c r="A17" s="6"/>
      <c r="B17" s="41"/>
      <c r="C17" s="6"/>
      <c r="D17" s="6"/>
      <c r="E17" s="6"/>
      <c r="G17" s="42"/>
    </row>
    <row r="18" spans="1:12" s="7" customFormat="1" ht="16.149999999999999" x14ac:dyDescent="0.35">
      <c r="A18" s="6"/>
      <c r="B18" s="41"/>
      <c r="C18" s="6"/>
      <c r="D18" s="6"/>
      <c r="E18" s="6"/>
      <c r="G18" s="42"/>
    </row>
    <row r="19" spans="1:12" s="34" customFormat="1" ht="16.149999999999999" x14ac:dyDescent="0.35">
      <c r="A19" s="5" t="s">
        <v>119</v>
      </c>
      <c r="B19" s="38"/>
      <c r="C19" s="5"/>
      <c r="D19" s="5"/>
      <c r="E19" s="5"/>
      <c r="G19" s="35"/>
    </row>
    <row r="20" spans="1:12" s="34" customFormat="1" ht="16.149999999999999" x14ac:dyDescent="0.35">
      <c r="C20" s="5"/>
      <c r="D20" s="5"/>
      <c r="E20" s="5"/>
      <c r="G20" s="35"/>
      <c r="H20" s="43">
        <v>10109</v>
      </c>
    </row>
    <row r="21" spans="1:12" s="34" customFormat="1" x14ac:dyDescent="0.35">
      <c r="B21" s="44" t="s">
        <v>120</v>
      </c>
      <c r="C21" s="5" t="s">
        <v>121</v>
      </c>
      <c r="D21" s="5" t="s">
        <v>122</v>
      </c>
      <c r="E21" s="5" t="s">
        <v>123</v>
      </c>
      <c r="F21" s="45" t="s">
        <v>124</v>
      </c>
      <c r="G21" s="5"/>
      <c r="H21" s="43" t="s">
        <v>125</v>
      </c>
      <c r="I21" s="58" t="s">
        <v>35</v>
      </c>
      <c r="J21" s="5" t="s">
        <v>36</v>
      </c>
      <c r="K21" s="5" t="s">
        <v>64</v>
      </c>
    </row>
    <row r="22" spans="1:12" s="34" customFormat="1" ht="16.149999999999999" x14ac:dyDescent="0.35">
      <c r="A22" s="34" t="s">
        <v>114</v>
      </c>
      <c r="B22" s="44">
        <v>2</v>
      </c>
      <c r="C22" s="34">
        <f>SUM(B22*$F$11)</f>
        <v>28</v>
      </c>
      <c r="D22" s="34">
        <f>SUM(C22*7)/5</f>
        <v>39.200000000000003</v>
      </c>
      <c r="F22" s="35"/>
      <c r="H22" s="46"/>
    </row>
    <row r="23" spans="1:12" s="34" customFormat="1" ht="16.149999999999999" x14ac:dyDescent="0.35">
      <c r="A23" s="34" t="s">
        <v>116</v>
      </c>
      <c r="B23" s="44">
        <v>2</v>
      </c>
      <c r="C23" s="34">
        <f>SUM(B23*$F$12)</f>
        <v>34</v>
      </c>
      <c r="D23" s="34">
        <f>SUM(C23*7.5)/5</f>
        <v>51</v>
      </c>
      <c r="F23" s="35"/>
      <c r="H23" s="46"/>
    </row>
    <row r="24" spans="1:12" s="34" customFormat="1" ht="16.149999999999999" x14ac:dyDescent="0.35">
      <c r="A24" s="34" t="s">
        <v>117</v>
      </c>
      <c r="B24" s="47">
        <v>2</v>
      </c>
      <c r="C24" s="48">
        <f>SUM(B24*$F$13)</f>
        <v>24</v>
      </c>
      <c r="D24" s="48">
        <f>SUM(C24*9.5)/5</f>
        <v>45.6</v>
      </c>
      <c r="F24" s="35"/>
      <c r="H24" s="46"/>
    </row>
    <row r="25" spans="1:12" s="34" customFormat="1" ht="16.149999999999999" x14ac:dyDescent="0.35">
      <c r="B25" s="7"/>
      <c r="C25" s="5">
        <f>SUM(C22:C24)</f>
        <v>86</v>
      </c>
      <c r="D25" s="5">
        <f>SUM(D22:D24)</f>
        <v>135.80000000000001</v>
      </c>
      <c r="E25" s="9">
        <f>SUM(D25*1.33)</f>
        <v>180.61400000000003</v>
      </c>
      <c r="F25" s="35"/>
      <c r="H25" s="46"/>
    </row>
    <row r="26" spans="1:12" s="34" customFormat="1" ht="16.149999999999999" x14ac:dyDescent="0.35">
      <c r="B26" s="7"/>
      <c r="F26" s="49">
        <f>(E25*$D$12)</f>
        <v>52599.180065005436</v>
      </c>
      <c r="G26" s="50"/>
      <c r="I26" s="51"/>
      <c r="J26" s="35"/>
    </row>
    <row r="27" spans="1:12" s="34" customFormat="1" ht="16.149999999999999" x14ac:dyDescent="0.35">
      <c r="A27" s="34" t="str">
        <f>A19</f>
        <v>Barnevernvakt</v>
      </c>
      <c r="B27" s="7"/>
      <c r="F27" s="35"/>
      <c r="H27" s="52">
        <f>ROUND(F26+G26,-3)</f>
        <v>53000</v>
      </c>
      <c r="I27" s="51">
        <f>ROUND(H27*$C$4,-3)</f>
        <v>0</v>
      </c>
      <c r="J27" s="35">
        <f>ROUND((H27+I27)*$B$14,-3)</f>
        <v>7000</v>
      </c>
      <c r="K27" s="53">
        <f>H27+I27+J27</f>
        <v>60000</v>
      </c>
      <c r="L27" s="53"/>
    </row>
    <row r="28" spans="1:12" s="34" customFormat="1" ht="16.149999999999999" x14ac:dyDescent="0.35">
      <c r="B28" s="7"/>
      <c r="F28" s="35"/>
      <c r="I28" s="51"/>
      <c r="J28" s="51"/>
      <c r="K28" s="54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Forslag budsjett 2017</vt:lpstr>
      <vt:lpstr>Kv natt og lø sø</vt:lpstr>
      <vt:lpstr>Helligdag</vt:lpstr>
    </vt:vector>
  </TitlesOfParts>
  <Company>Gjøvik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 Andersen</dc:creator>
  <cp:lastModifiedBy>Liv Furuseth</cp:lastModifiedBy>
  <cp:lastPrinted>2017-05-26T07:33:46Z</cp:lastPrinted>
  <dcterms:created xsi:type="dcterms:W3CDTF">2015-06-08T12:52:47Z</dcterms:created>
  <dcterms:modified xsi:type="dcterms:W3CDTF">2017-05-26T07:36:35Z</dcterms:modified>
</cp:coreProperties>
</file>